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Override PartName="/xl/metadata.xml" ContentType="application/vnd.openxmlformats-officedocument.spreadsheetml.sheetMetadata+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Inputs" sheetId="2" state="visible" r:id="rId2"/>
    <sheet name="Classic Original" sheetId="3" state="visible" r:id="rId3"/>
    <sheet name="Classic Remeasured" sheetId="4" state="visible" r:id="rId4"/>
    <sheet name="365 Original" sheetId="5" state="visible" r:id="rId5"/>
    <sheet name="365 Remeasured" sheetId="6" state="visible" r:id="rId6"/>
    <sheet name="Journal Entries" sheetId="7" state="visible" r:id="rId7"/>
    <sheet name="Check" sheetId="8" state="visible" r:id="rId8"/>
  </sheets>
  <definedNames>
    <definedName name="Start_Date">Inputs!$B$4</definedName>
    <definedName name="Term_1">Inputs!$B$5</definedName>
    <definedName name="Pmt_1">Inputs!$B$6</definedName>
    <definedName name="Rate_1">Inputs!$B$7</definedName>
    <definedName name="IDC">Inputs!$B$8</definedName>
    <definedName name="Incentive">Inputs!$B$9</definedName>
    <definedName name="Mod_Date">Inputs!$B$12</definedName>
    <definedName name="Ext_Months">Inputs!$B$13</definedName>
    <definedName name="Pmt_2">Inputs!$B$14</definedName>
    <definedName name="Rate_2">Inputs!$B$15</definedName>
    <definedName name="Addl_ROU">Inputs!$B$18</definedName>
    <definedName name="Commensurate">Inputs!$B$19</definedName>
    <definedName name="Mod_Test">Inputs!$B$21</definedName>
    <definedName name="Scope_Change">Inputs!$B$24</definedName>
    <definedName name="Scope_Pct">Inputs!$B$25</definedName>
    <definedName name="Crit_1">Inputs!$B$30</definedName>
    <definedName name="Crit_2">Inputs!$B$31</definedName>
    <definedName name="Crit_3">Inputs!$B$32</definedName>
    <definedName name="Crit_4">Inputs!$B$33</definedName>
    <definedName name="Crit_5">Inputs!$B$34</definedName>
    <definedName name="Lease_Class">Inputs!$B$36</definedName>
  </definedNames>
  <calcPr calcId="12451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5">
    <numFmt numFmtId="164" formatCode="yyyy-mm-dd"/>
    <numFmt numFmtId="165" formatCode="d mmm yyyy"/>
    <numFmt numFmtId="166" formatCode="#,##0;[Red](#,##0)"/>
    <numFmt numFmtId="167" formatCode="0.000%"/>
    <numFmt numFmtId="168" formatCode="#,##0.00;[Red](#,##0.00)"/>
  </numFmts>
  <fonts count="6">
    <font>
      <name val="Calibri"/>
      <family val="2"/>
      <color theme="1"/>
      <sz val="11"/>
      <scheme val="minor"/>
    </font>
    <font>
      <b val="1"/>
      <color rgb="FF1F4E5F"/>
      <sz val="14"/>
    </font>
    <font>
      <i val="1"/>
      <color rgb="FF595959"/>
      <sz val="10"/>
    </font>
    <font>
      <b val="1"/>
      <color rgb="FF1F4E5F"/>
      <sz val="11"/>
    </font>
    <font>
      <b val="1"/>
    </font>
    <font>
      <b val="1"/>
      <color rgb="FFFFFFFF"/>
      <sz val="11"/>
    </font>
  </fonts>
  <fills count="8">
    <fill>
      <patternFill/>
    </fill>
    <fill>
      <patternFill patternType="gray125"/>
    </fill>
    <fill>
      <patternFill patternType="solid">
        <fgColor rgb="FFFFF2CC"/>
      </patternFill>
    </fill>
    <fill>
      <patternFill patternType="solid">
        <fgColor rgb="FFF2F2F2"/>
      </patternFill>
    </fill>
    <fill>
      <patternFill patternType="solid">
        <fgColor rgb="FFDCE6F1"/>
      </patternFill>
    </fill>
    <fill>
      <patternFill patternType="solid">
        <fgColor rgb="FF1F4E5F"/>
      </patternFill>
    </fill>
    <fill>
      <patternFill patternType="solid">
        <fgColor rgb="FFE2EFDA"/>
      </patternFill>
    </fill>
    <fill>
      <patternFill patternType="solid">
        <fgColor rgb="FFFBE2E2"/>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37">
    <xf numFmtId="0" fontId="0" fillId="0" borderId="0" pivotButton="0" quotePrefix="0" xfId="0"/>
    <xf numFmtId="0" fontId="0" fillId="0" borderId="0" applyAlignment="1" pivotButton="0" quotePrefix="0" xfId="0">
      <alignment vertical="top" wrapText="1"/>
    </xf>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3" fillId="0" borderId="0" pivotButton="0" quotePrefix="0" xfId="0"/>
    <xf numFmtId="165" fontId="0" fillId="2" borderId="1" pivotButton="0" quotePrefix="0" xfId="0"/>
    <xf numFmtId="0" fontId="2" fillId="0" borderId="0" pivotButton="0" quotePrefix="0" xfId="0"/>
    <xf numFmtId="1" fontId="0" fillId="2" borderId="1" pivotButton="0" quotePrefix="0" xfId="0"/>
    <xf numFmtId="166" fontId="0" fillId="2" borderId="1" pivotButton="0" quotePrefix="0" xfId="0"/>
    <xf numFmtId="167" fontId="0" fillId="2" borderId="1" pivotButton="0" quotePrefix="0" xfId="0"/>
    <xf numFmtId="0" fontId="0" fillId="2" borderId="1" pivotButton="0" quotePrefix="0" xfId="0"/>
    <xf numFmtId="0" fontId="0" fillId="0" borderId="0" applyAlignment="1" pivotButton="0" quotePrefix="0" xfId="0">
      <alignment vertical="center" wrapText="1"/>
    </xf>
    <xf numFmtId="0" fontId="2" fillId="0" borderId="0" applyAlignment="1" pivotButton="0" quotePrefix="0" xfId="0">
      <alignment vertical="center" wrapText="1"/>
    </xf>
    <xf numFmtId="0" fontId="4" fillId="0" borderId="0" pivotButton="0" quotePrefix="0" xfId="0"/>
    <xf numFmtId="0" fontId="4" fillId="3" borderId="1" pivotButton="0" quotePrefix="0" xfId="0"/>
    <xf numFmtId="9" fontId="0" fillId="2" borderId="1" pivotButton="0" quotePrefix="0" xfId="0"/>
    <xf numFmtId="168" fontId="0" fillId="4" borderId="1" pivotButton="0" quotePrefix="0" xfId="0"/>
    <xf numFmtId="0" fontId="0" fillId="3" borderId="1" pivotButton="0" quotePrefix="0" xfId="0"/>
    <xf numFmtId="0" fontId="5" fillId="5" borderId="0" applyAlignment="1" pivotButton="0" quotePrefix="0" xfId="0">
      <alignment vertical="center" wrapText="1"/>
    </xf>
    <xf numFmtId="1" fontId="0" fillId="0" borderId="0" pivotButton="0" quotePrefix="0" xfId="0"/>
    <xf numFmtId="165" fontId="0" fillId="0" borderId="0" pivotButton="0" quotePrefix="0" xfId="0"/>
    <xf numFmtId="168" fontId="0" fillId="4" borderId="0" pivotButton="0" quotePrefix="0" xfId="0"/>
    <xf numFmtId="168" fontId="4" fillId="0" borderId="1" pivotButton="0" quotePrefix="0" xfId="0"/>
    <xf numFmtId="1" fontId="0" fillId="4" borderId="1" pivotButton="0" quotePrefix="0" xfId="0"/>
    <xf numFmtId="168" fontId="0" fillId="6" borderId="1" pivotButton="0" quotePrefix="0" xfId="0"/>
    <xf numFmtId="1" fontId="0" fillId="6" borderId="0" pivotButton="0" quotePrefix="0" xfId="0"/>
    <xf numFmtId="165" fontId="0" fillId="6" borderId="0" pivotButton="0" quotePrefix="0" xfId="0"/>
    <xf numFmtId="168" fontId="0" fillId="6" borderId="0" pivotButton="0" quotePrefix="0" xfId="0"/>
    <xf numFmtId="168" fontId="0" fillId="0" borderId="0" pivotButton="0" quotePrefix="0" xfId="0"/>
    <xf numFmtId="1" fontId="0" fillId="6" borderId="1" pivotButton="0" quotePrefix="0" xfId="0"/>
    <xf numFmtId="0" fontId="0" fillId="6" borderId="0" pivotButton="0" quotePrefix="0" xfId="0"/>
    <xf numFmtId="168" fontId="0" fillId="0" borderId="1" pivotButton="0" quotePrefix="0" xfId="0"/>
    <xf numFmtId="168" fontId="0" fillId="3" borderId="1" pivotButton="0" quotePrefix="0" xfId="0"/>
    <xf numFmtId="168" fontId="0" fillId="7" borderId="1" pivotButton="0" quotePrefix="0" xfId="0"/>
    <xf numFmtId="168" fontId="4" fillId="6"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 Id="rId900" Type="http://schemas.openxmlformats.org/officeDocument/2006/relationships/sheetMetadata" Target="metadata.xml"/></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2343150" cy="7810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25"/>
  <sheetViews>
    <sheetView showGridLines="0" workbookViewId="0">
      <selection activeCell="A1" sqref="A1"/>
    </sheetView>
  </sheetViews>
  <sheetFormatPr baseColWidth="8" defaultRowHeight="15"/>
  <cols>
    <col width="112" customWidth="1" min="1" max="1"/>
  </cols>
  <sheetData>
    <row r="1" ht="66" customHeight="1">
      <c r="A1" s="1" t="inlineStr"/>
    </row>
    <row r="2">
      <c r="A2" s="1" t="inlineStr"/>
    </row>
    <row r="3">
      <c r="A3" s="2" t="inlineStr">
        <is>
          <t>ASC 842 Lease Modification Tracker</t>
        </is>
      </c>
    </row>
    <row r="4">
      <c r="A4" s="3" t="inlineStr">
        <is>
          <t>Companion workbook to the Ask Eijaz post — askeijaz.com/blog/</t>
        </is>
      </c>
    </row>
    <row r="5">
      <c r="A5" s="1" t="inlineStr"/>
    </row>
    <row r="6">
      <c r="A6" s="4" t="inlineStr">
        <is>
          <t>What this models</t>
        </is>
      </c>
    </row>
    <row r="7" ht="30" customHeight="1">
      <c r="A7" s="1" t="inlineStr">
        <is>
          <t>A 60-month office lease commencing 1 Jan 2023: $5,000 a month paid IN ADVANCE, 5.5% incremental borrowing rate, $6,000 of initial direct costs. On 1 Jul 2024 — after 18 payments — the lease is extended by 24 months, rent rises to $5,500 for every remaining month, and the revised rate is 6.2%.</t>
        </is>
      </c>
    </row>
    <row r="8">
      <c r="A8" s="1" t="inlineStr"/>
    </row>
    <row r="9" ht="30" customHeight="1">
      <c r="A9" s="1" t="inlineStr">
        <is>
          <t>The point of the workbook: the lease liability and the ROU asset are two different numbers. The $6,000 of initial direct costs sits in the ROU asset and in nothing else, so the two balances never agree — and a modification has to move both, by different amounts.</t>
        </is>
      </c>
    </row>
    <row r="10">
      <c r="A10" s="1" t="inlineStr"/>
    </row>
    <row r="11">
      <c r="A11" s="4" t="inlineStr">
        <is>
          <t>The sheets</t>
        </is>
      </c>
    </row>
    <row r="12" ht="30" customHeight="1">
      <c r="A12" s="1" t="inlineStr">
        <is>
          <t>Inputs — every assumption, plus the two ASC 842 tests that decide what happens next. Yellow cells are yours to change; everything else recalculates.</t>
        </is>
      </c>
    </row>
    <row r="13" ht="30" customHeight="1">
      <c r="A13" s="1" t="inlineStr">
        <is>
          <t>Classic Original / Classic Remeasured — the backward-compatible build. PV, INDEX, DATEDIF and one row per month. Opens in any Excel back to 2007.</t>
        </is>
      </c>
    </row>
    <row r="14" ht="30" customHeight="1">
      <c r="A14" s="1" t="inlineStr">
        <is>
          <t>365 Original / 365 Remeasured — the same two schedules, each spilled from three cells with LET + SEQUENCE + SCAN. Needs Microsoft 365 or Excel 2021+.</t>
        </is>
      </c>
    </row>
    <row r="15" ht="30" customHeight="1">
      <c r="A15" s="1" t="inlineStr">
        <is>
          <t>Journal Entries — the remeasurement entry, a sample monthly entry either side of the modification, the separate partial-termination entry a scope DECREASE requires, and the same remeasurement entry built as a single spilled 365 formula.</t>
        </is>
      </c>
    </row>
    <row r="16" ht="30" customHeight="1">
      <c r="A16" s="1" t="inlineStr">
        <is>
          <t>Check — ties the classic and 365 builds together to the cent, proves both schedules land on zero, and prices the four wrong answers this calculation usually produces.</t>
        </is>
      </c>
    </row>
    <row r="17">
      <c r="A17" s="1" t="inlineStr"/>
    </row>
    <row r="18">
      <c r="A18" s="4" t="inlineStr">
        <is>
          <t>Colour key</t>
        </is>
      </c>
    </row>
    <row r="19" ht="30" customHeight="1">
      <c r="A19" s="1" t="inlineStr">
        <is>
          <t>Yellow = input, type over it.   Blue = classic formula.   Green = Excel 365 formula.   Grey = derived.   Pink = a deliberately wrong answer, shown for contrast.</t>
        </is>
      </c>
    </row>
    <row r="20">
      <c r="A20" s="1" t="inlineStr"/>
    </row>
    <row r="21">
      <c r="A21" s="4" t="inlineStr">
        <is>
          <t>Two things worth knowing before you edit</t>
        </is>
      </c>
    </row>
    <row r="22" ht="30" customHeight="1">
      <c r="A22" s="1" t="inlineStr">
        <is>
          <t>1. Rent is paid in advance, so every PV carries a trailing 1 (annuity due) and interest accrues on (opening balance − payment). Drop either and the schedule will not reach zero.</t>
        </is>
      </c>
    </row>
    <row r="23" ht="30" customHeight="1">
      <c r="A23" s="1" t="inlineStr">
        <is>
          <t>2. The 365 sheets reference the spill ranges the long way — $G$9:$G$68 rather than a # spill reference. Typing it yourself the # is nicer, but note it only ever attaches to a spill's ANCHOR cell: the block on 365 Original spills from C9, so the closing liability is INDEX(C9#,row,5), not G9#. Written to the file, the explicit range opens cleanly in every build of Excel. The result is identical.</t>
        </is>
      </c>
    </row>
    <row r="24">
      <c r="A24" s="1" t="inlineStr"/>
    </row>
    <row r="25">
      <c r="A25" s="3" t="inlineStr">
        <is>
          <t>This workbook models a US GAAP operating lease by default. Flip the classification test on Inputs and the ROU column switches to straight-line amortisation with interest shown separately, which is the finance-lease pattern. It is not a substitute for your own technical accounting judgement.</t>
        </is>
      </c>
    </row>
  </sheetData>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38"/>
  <sheetViews>
    <sheetView showGridLines="0" workbookViewId="0">
      <selection activeCell="A1" sqref="A1"/>
    </sheetView>
  </sheetViews>
  <sheetFormatPr baseColWidth="8" defaultRowHeight="15"/>
  <cols>
    <col width="62" customWidth="1" min="1" max="1"/>
    <col width="18" customWidth="1" min="2" max="2"/>
    <col width="74" customWidth="1" min="3" max="3"/>
  </cols>
  <sheetData>
    <row r="1">
      <c r="A1" s="5" t="inlineStr">
        <is>
          <t>Inputs — change anything yellow</t>
        </is>
      </c>
    </row>
    <row r="3">
      <c r="A3" s="6" t="inlineStr">
        <is>
          <t>THE ORIGINAL LEASE</t>
        </is>
      </c>
    </row>
    <row r="4">
      <c r="A4" t="inlineStr">
        <is>
          <t>Lease commencement date</t>
        </is>
      </c>
      <c r="B4" s="7" t="n">
        <v>44927</v>
      </c>
      <c r="C4" s="8" t="inlineStr">
        <is>
          <t>First payment falls on this date — rent is paid in advance.</t>
        </is>
      </c>
    </row>
    <row r="5">
      <c r="A5" t="inlineStr">
        <is>
          <t>Lease term (months)</t>
        </is>
      </c>
      <c r="B5" s="9" t="n">
        <v>60</v>
      </c>
      <c r="C5" s="8" t="inlineStr">
        <is>
          <t>Non-cancellable term plus any option period you are reasonably certain to exercise.</t>
        </is>
      </c>
    </row>
    <row r="6">
      <c r="A6" t="inlineStr">
        <is>
          <t>Monthly rent, paid in advance</t>
        </is>
      </c>
      <c r="B6" s="10" t="n">
        <v>5000</v>
      </c>
      <c r="C6" s="8" t="inlineStr">
        <is>
          <t>Fixed payments only. Variable rent tied to usage or sales stays out of the liability.</t>
        </is>
      </c>
    </row>
    <row r="7">
      <c r="A7" t="inlineStr">
        <is>
          <t>Discount rate at commencement (annual)</t>
        </is>
      </c>
      <c r="B7" s="11" t="n">
        <v>0.055</v>
      </c>
      <c r="C7" s="8" t="inlineStr">
        <is>
          <t>Rate implicit in the lease if you can determine it; otherwise your incremental borrowing rate.</t>
        </is>
      </c>
    </row>
    <row r="8">
      <c r="A8" t="inlineStr">
        <is>
          <t>Initial direct costs paid</t>
        </is>
      </c>
      <c r="B8" s="10" t="n">
        <v>6000</v>
      </c>
      <c r="C8" s="8" t="inlineStr">
        <is>
          <t>Broker commissions and similar. Adds to the ROU asset, never to the liability — this is why the two balances differ.</t>
        </is>
      </c>
    </row>
    <row r="9">
      <c r="A9" t="inlineStr">
        <is>
          <t>Lease incentives received</t>
        </is>
      </c>
      <c r="B9" s="10" t="n">
        <v>0</v>
      </c>
      <c r="C9" s="8" t="inlineStr">
        <is>
          <t>Tenant improvement allowances and the like. Subtracts from the ROU asset.</t>
        </is>
      </c>
    </row>
    <row r="11">
      <c r="A11" s="6" t="inlineStr">
        <is>
          <t>THE MODIFICATION</t>
        </is>
      </c>
    </row>
    <row r="12">
      <c r="A12" t="inlineStr">
        <is>
          <t>Effective date of the modification</t>
        </is>
      </c>
      <c r="B12" s="7" t="n">
        <v>45474</v>
      </c>
      <c r="C12" s="8" t="inlineStr">
        <is>
          <t>The date the amended terms take effect — not the date the paperwork was signed.</t>
        </is>
      </c>
    </row>
    <row r="13">
      <c r="A13" t="inlineStr">
        <is>
          <t>Additional months added to the term</t>
        </is>
      </c>
      <c r="B13" s="9" t="n">
        <v>24</v>
      </c>
      <c r="C13" s="8" t="inlineStr">
        <is>
          <t>Zero if the term is unchanged. Negative is a scope decrease — see the note below.</t>
        </is>
      </c>
    </row>
    <row r="14">
      <c r="A14" t="inlineStr">
        <is>
          <t>New monthly rent from that date</t>
        </is>
      </c>
      <c r="B14" s="10" t="n">
        <v>5500</v>
      </c>
      <c r="C14" s="8" t="inlineStr">
        <is>
          <t>Applies to every remaining month, original and extended.</t>
        </is>
      </c>
    </row>
    <row r="15">
      <c r="A15" t="inlineStr">
        <is>
          <t>Revised discount rate (annual)</t>
        </is>
      </c>
      <c r="B15" s="11" t="n">
        <v>0.062</v>
      </c>
      <c r="C15" s="8" t="inlineStr">
        <is>
          <t>ASC 842-10-35-6: measure a modification with the rate at the modification date, not the original rate.</t>
        </is>
      </c>
    </row>
    <row r="17">
      <c r="A17" s="6" t="inlineStr">
        <is>
          <t>TEST 1 — IS THIS A SEPARATE CONTRACT?  (ASC 842-10-25-8)</t>
        </is>
      </c>
    </row>
    <row r="18">
      <c r="A18" t="inlineStr">
        <is>
          <t>a. Does the modification grant an ADDITIONAL right of use?</t>
        </is>
      </c>
      <c r="B18" s="12" t="inlineStr">
        <is>
          <t>Yes</t>
        </is>
      </c>
      <c r="C18" s="8" t="inlineStr">
        <is>
          <t>More space, or more time on the same asset. Both count.</t>
        </is>
      </c>
    </row>
    <row r="19" ht="30" customHeight="1">
      <c r="A19" s="13" t="inlineStr">
        <is>
          <t>b. Do the payments rise commensurately with the standalone price of ONLY that additional right of use?</t>
        </is>
      </c>
      <c r="B19" s="12" t="inlineStr">
        <is>
          <t>No</t>
        </is>
      </c>
      <c r="C19" s="14" t="inlineStr">
        <is>
          <t>In the example: no. The rent on the 42 remaining ORIGINAL months also rose from $5,000 to $5,500, so the increase is not confined to the extra 24 months.</t>
        </is>
      </c>
    </row>
    <row r="21" ht="30" customHeight="1">
      <c r="A21" s="15" t="inlineStr">
        <is>
          <t>Conclusion</t>
        </is>
      </c>
      <c r="B21" s="16">
        <f>IF(AND(Addl_ROU="Yes",Commensurate="Yes"),"Separate contract","Single modified lease")</f>
        <v/>
      </c>
      <c r="C21" s="14">
        <f>IF(Mod_Test="Separate contract","Leave the original lease alone and account for the extra right of use as a brand-new lease when it commences. Nothing is remeasured today.","One modified lease. Remeasure the liability at the revised rate and put the whole movement into the ROU asset.")</f>
        <v/>
      </c>
    </row>
    <row r="23">
      <c r="A23" s="6" t="inlineStr">
        <is>
          <t>TEST 2 — DOES THE SCOPE DECREASE?  (ASC 842-10-25-13)</t>
        </is>
      </c>
    </row>
    <row r="24">
      <c r="A24" t="inlineStr">
        <is>
          <t>Change in scope</t>
        </is>
      </c>
      <c r="B24" s="12" t="inlineStr">
        <is>
          <t>Increase</t>
        </is>
      </c>
      <c r="C24" s="8" t="inlineStr">
        <is>
          <t>Increase / None / Decrease. A DECREASE follows a different rule and this workbook handles it separately.</t>
        </is>
      </c>
    </row>
    <row r="25">
      <c r="A25" t="inlineStr">
        <is>
          <t>Proportion of the right of use surrendered</t>
        </is>
      </c>
      <c r="B25" s="17" t="n">
        <v>0</v>
      </c>
      <c r="C25" s="8" t="inlineStr">
        <is>
          <t>Only used when scope decreases. Drives the partial-termination entry on Journal Entries.</t>
        </is>
      </c>
    </row>
    <row r="27" ht="30" customHeight="1">
      <c r="A27" s="15" t="inlineStr">
        <is>
          <t>Warning</t>
        </is>
      </c>
      <c r="B27" s="16">
        <f>IF(Scope_Change="Decrease","SCOPE DECREASE","OK")</f>
        <v/>
      </c>
      <c r="C27" s="14">
        <f>IF(Scope_Change="Decrease","A scope decrease is NOT the increase pattern. Reduce the ROU asset and the liability proportionately FIRST, take the difference to profit or loss as a gain or loss, and only then remeasure what is left. See Journal Entries.","The remeasured schedules apply: the whole movement in the liability goes to the ROU asset, with nothing through profit or loss.")</f>
        <v/>
      </c>
    </row>
    <row r="29">
      <c r="A29" s="6" t="inlineStr">
        <is>
          <t>TEST 3 — OPERATING OR FINANCE?  (ASC 842-10-25-2, reassessed at every modification)</t>
        </is>
      </c>
    </row>
    <row r="30">
      <c r="A30" t="inlineStr">
        <is>
          <t>Does ownership transfer by the end of the term?</t>
        </is>
      </c>
      <c r="B30" s="12" t="inlineStr">
        <is>
          <t>No</t>
        </is>
      </c>
      <c r="C30" s="3" t="inlineStr">
        <is>
          <t>A 60-month lease of ordinary office space answers No five times, so it is an operating lease — one straight-line lease cost, no separate interest line. Answer Yes anywhere and it becomes a finance lease.</t>
        </is>
      </c>
    </row>
    <row r="31">
      <c r="A31" t="inlineStr">
        <is>
          <t>Is there a purchase option reasonably certain of exercise?</t>
        </is>
      </c>
      <c r="B31" s="12" t="inlineStr">
        <is>
          <t>No</t>
        </is>
      </c>
    </row>
    <row r="32">
      <c r="A32" t="inlineStr">
        <is>
          <t>Is the term a major part of the asset's remaining economic life?</t>
        </is>
      </c>
      <c r="B32" s="12" t="inlineStr">
        <is>
          <t>No</t>
        </is>
      </c>
    </row>
    <row r="33">
      <c r="A33" t="inlineStr">
        <is>
          <t>Is the PV of payments substantially all of the asset's fair value?</t>
        </is>
      </c>
      <c r="B33" s="12" t="inlineStr">
        <is>
          <t>No</t>
        </is>
      </c>
    </row>
    <row r="34">
      <c r="A34" t="inlineStr">
        <is>
          <t>Is the asset so specialised it has no alternative use?</t>
        </is>
      </c>
      <c r="B34" s="12" t="inlineStr">
        <is>
          <t>No</t>
        </is>
      </c>
    </row>
    <row r="36">
      <c r="A36" s="15" t="inlineStr">
        <is>
          <t>Classification</t>
        </is>
      </c>
      <c r="B36" s="16">
        <f>IF(COUNTIF($B$30:$B$34,"Yes")&gt;0,"Finance","Operating")</f>
        <v/>
      </c>
      <c r="C36" s="8" t="inlineStr">
        <is>
          <t>Drives the ROU amortisation column on all four schedule sheets.</t>
        </is>
      </c>
    </row>
    <row r="38">
      <c r="A38" s="8" t="inlineStr">
        <is>
          <t>Everything else in this workbook is derived from the cells above. Nothing is hardcoded.</t>
        </is>
      </c>
    </row>
  </sheetData>
  <dataValidations count="2">
    <dataValidation sqref="B18 B19 B30 B31 B32 B33 B34" showDropDown="0" showInputMessage="0" showErrorMessage="0" allowBlank="0" type="list">
      <formula1>"Yes,No"</formula1>
    </dataValidation>
    <dataValidation sqref="B24" showDropDown="0" showInputMessage="0" showErrorMessage="0" allowBlank="0" type="list">
      <formula1>"Increase,None,Decrease"</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70"/>
  <sheetViews>
    <sheetView showGridLines="0" workbookViewId="0">
      <pane ySplit="8" topLeftCell="A9" activePane="bottomLeft" state="frozen"/>
      <selection pane="bottomLeft" activeCell="A1" sqref="A1"/>
    </sheetView>
  </sheetViews>
  <sheetFormatPr baseColWidth="8" defaultRowHeight="15"/>
  <cols>
    <col width="8" customWidth="1" min="1" max="1"/>
    <col width="15" customWidth="1" min="2" max="2"/>
    <col width="17" customWidth="1" min="3" max="3"/>
    <col width="12" customWidth="1" min="4" max="4"/>
    <col width="12" customWidth="1" min="5" max="5"/>
    <col width="13" customWidth="1" min="6" max="6"/>
    <col width="17" customWidth="1" min="7" max="7"/>
    <col width="13" customWidth="1" min="8" max="8"/>
    <col width="17" customWidth="1" min="9" max="9"/>
    <col width="15" customWidth="1" min="10" max="10"/>
    <col width="90" customWidth="1" min="12" max="12"/>
  </cols>
  <sheetData>
    <row r="1">
      <c r="A1" s="5" t="inlineStr">
        <is>
          <t>The original lease — classic build</t>
        </is>
      </c>
    </row>
    <row r="3">
      <c r="B3" s="18">
        <f>PV(Rate_1/12,Term_1,-Pmt_1,,1)</f>
        <v/>
      </c>
      <c r="C3" t="inlineStr">
        <is>
          <t>Lease liability at commencement</t>
        </is>
      </c>
      <c r="L3" s="3" t="inlineStr">
        <is>
          <t>Interest accrues on (opening balance − payment) because the rent is paid on day one of the month. Charge it on the full opening balance instead and the schedule ends $1,578.52 short of zero.</t>
        </is>
      </c>
    </row>
    <row r="4">
      <c r="B4" s="18">
        <f>B3+IDC-Incentive</f>
        <v/>
      </c>
      <c r="C4" t="inlineStr">
        <is>
          <t>ROU asset at commencement</t>
        </is>
      </c>
    </row>
    <row r="5">
      <c r="B5" s="18">
        <f>(Term_1*Pmt_1+IDC-Incentive)/Term_1</f>
        <v/>
      </c>
      <c r="C5" t="inlineStr">
        <is>
          <t>Straight-line lease cost per month</t>
        </is>
      </c>
      <c r="L5" s="3" t="inlineStr">
        <is>
          <t>The ROU asset starts $6,000 above the liability — the initial direct costs — and closes that gap steadily, because the straight-line cost ($5,100) is larger than the rent ($5,000).</t>
        </is>
      </c>
    </row>
    <row r="6">
      <c r="B6" s="19">
        <f>Lease_Class</f>
        <v/>
      </c>
      <c r="C6" t="inlineStr">
        <is>
          <t>Lease classification</t>
        </is>
      </c>
    </row>
    <row r="8" ht="30" customHeight="1">
      <c r="A8" s="20" t="inlineStr">
        <is>
          <t>Period</t>
        </is>
      </c>
      <c r="B8" s="20" t="inlineStr">
        <is>
          <t>Month starting</t>
        </is>
      </c>
      <c r="C8" s="20" t="inlineStr">
        <is>
          <t>Opening liability</t>
        </is>
      </c>
      <c r="D8" s="20" t="inlineStr">
        <is>
          <t>Payment</t>
        </is>
      </c>
      <c r="E8" s="20" t="inlineStr">
        <is>
          <t>Interest</t>
        </is>
      </c>
      <c r="F8" s="20" t="inlineStr">
        <is>
          <t>Principal</t>
        </is>
      </c>
      <c r="G8" s="20" t="inlineStr">
        <is>
          <t>Closing liability</t>
        </is>
      </c>
      <c r="H8" s="20" t="inlineStr">
        <is>
          <t>Lease cost</t>
        </is>
      </c>
      <c r="I8" s="20" t="inlineStr">
        <is>
          <t>ROU amortisation</t>
        </is>
      </c>
      <c r="J8" s="20" t="inlineStr">
        <is>
          <t>Closing ROU</t>
        </is>
      </c>
      <c r="L8" s="3" t="inlineStr">
        <is>
          <t>Column J anchors to $I$9 rather than chaining off the row above, so inserting a row cannot silently break the running total.</t>
        </is>
      </c>
    </row>
    <row r="9">
      <c r="A9" s="21" t="n">
        <v>1</v>
      </c>
      <c r="B9" s="22">
        <f>EDATE(Start_Date,A9-1)</f>
        <v/>
      </c>
      <c r="C9" s="23">
        <f>$B$3</f>
        <v/>
      </c>
      <c r="D9" s="23">
        <f>Pmt_1</f>
        <v/>
      </c>
      <c r="E9" s="23">
        <f>(C9-D9)*Rate_1/12</f>
        <v/>
      </c>
      <c r="F9" s="23">
        <f>D9-E9</f>
        <v/>
      </c>
      <c r="G9" s="23">
        <f>C9-F9</f>
        <v/>
      </c>
      <c r="H9" s="23">
        <f>IF(Lease_Class="Finance",E9+I9,$B$5)</f>
        <v/>
      </c>
      <c r="I9" s="23">
        <f>IF(Lease_Class="Finance",$B$4/Term_1,$B$5-E9)</f>
        <v/>
      </c>
      <c r="J9" s="23">
        <f>$B$4-SUM($I$9:I9)</f>
        <v/>
      </c>
    </row>
    <row r="10">
      <c r="A10" s="21">
        <f>A9+1</f>
        <v/>
      </c>
      <c r="B10" s="22">
        <f>EDATE(Start_Date,A10-1)</f>
        <v/>
      </c>
      <c r="C10" s="23">
        <f>G9</f>
        <v/>
      </c>
      <c r="D10" s="23">
        <f>Pmt_1</f>
        <v/>
      </c>
      <c r="E10" s="23">
        <f>(C10-D10)*Rate_1/12</f>
        <v/>
      </c>
      <c r="F10" s="23">
        <f>D10-E10</f>
        <v/>
      </c>
      <c r="G10" s="23">
        <f>C10-F10</f>
        <v/>
      </c>
      <c r="H10" s="23">
        <f>IF(Lease_Class="Finance",E10+I10,$B$5)</f>
        <v/>
      </c>
      <c r="I10" s="23">
        <f>IF(Lease_Class="Finance",$B$4/Term_1,$B$5-E10)</f>
        <v/>
      </c>
      <c r="J10" s="23">
        <f>$B$4-SUM($I$9:I10)</f>
        <v/>
      </c>
    </row>
    <row r="11">
      <c r="A11" s="21">
        <f>A10+1</f>
        <v/>
      </c>
      <c r="B11" s="22">
        <f>EDATE(Start_Date,A11-1)</f>
        <v/>
      </c>
      <c r="C11" s="23">
        <f>G10</f>
        <v/>
      </c>
      <c r="D11" s="23">
        <f>Pmt_1</f>
        <v/>
      </c>
      <c r="E11" s="23">
        <f>(C11-D11)*Rate_1/12</f>
        <v/>
      </c>
      <c r="F11" s="23">
        <f>D11-E11</f>
        <v/>
      </c>
      <c r="G11" s="23">
        <f>C11-F11</f>
        <v/>
      </c>
      <c r="H11" s="23">
        <f>IF(Lease_Class="Finance",E11+I11,$B$5)</f>
        <v/>
      </c>
      <c r="I11" s="23">
        <f>IF(Lease_Class="Finance",$B$4/Term_1,$B$5-E11)</f>
        <v/>
      </c>
      <c r="J11" s="23">
        <f>$B$4-SUM($I$9:I11)</f>
        <v/>
      </c>
    </row>
    <row r="12">
      <c r="A12" s="21">
        <f>A11+1</f>
        <v/>
      </c>
      <c r="B12" s="22">
        <f>EDATE(Start_Date,A12-1)</f>
        <v/>
      </c>
      <c r="C12" s="23">
        <f>G11</f>
        <v/>
      </c>
      <c r="D12" s="23">
        <f>Pmt_1</f>
        <v/>
      </c>
      <c r="E12" s="23">
        <f>(C12-D12)*Rate_1/12</f>
        <v/>
      </c>
      <c r="F12" s="23">
        <f>D12-E12</f>
        <v/>
      </c>
      <c r="G12" s="23">
        <f>C12-F12</f>
        <v/>
      </c>
      <c r="H12" s="23">
        <f>IF(Lease_Class="Finance",E12+I12,$B$5)</f>
        <v/>
      </c>
      <c r="I12" s="23">
        <f>IF(Lease_Class="Finance",$B$4/Term_1,$B$5-E12)</f>
        <v/>
      </c>
      <c r="J12" s="23">
        <f>$B$4-SUM($I$9:I12)</f>
        <v/>
      </c>
    </row>
    <row r="13">
      <c r="A13" s="21">
        <f>A12+1</f>
        <v/>
      </c>
      <c r="B13" s="22">
        <f>EDATE(Start_Date,A13-1)</f>
        <v/>
      </c>
      <c r="C13" s="23">
        <f>G12</f>
        <v/>
      </c>
      <c r="D13" s="23">
        <f>Pmt_1</f>
        <v/>
      </c>
      <c r="E13" s="23">
        <f>(C13-D13)*Rate_1/12</f>
        <v/>
      </c>
      <c r="F13" s="23">
        <f>D13-E13</f>
        <v/>
      </c>
      <c r="G13" s="23">
        <f>C13-F13</f>
        <v/>
      </c>
      <c r="H13" s="23">
        <f>IF(Lease_Class="Finance",E13+I13,$B$5)</f>
        <v/>
      </c>
      <c r="I13" s="23">
        <f>IF(Lease_Class="Finance",$B$4/Term_1,$B$5-E13)</f>
        <v/>
      </c>
      <c r="J13" s="23">
        <f>$B$4-SUM($I$9:I13)</f>
        <v/>
      </c>
    </row>
    <row r="14">
      <c r="A14" s="21">
        <f>A13+1</f>
        <v/>
      </c>
      <c r="B14" s="22">
        <f>EDATE(Start_Date,A14-1)</f>
        <v/>
      </c>
      <c r="C14" s="23">
        <f>G13</f>
        <v/>
      </c>
      <c r="D14" s="23">
        <f>Pmt_1</f>
        <v/>
      </c>
      <c r="E14" s="23">
        <f>(C14-D14)*Rate_1/12</f>
        <v/>
      </c>
      <c r="F14" s="23">
        <f>D14-E14</f>
        <v/>
      </c>
      <c r="G14" s="23">
        <f>C14-F14</f>
        <v/>
      </c>
      <c r="H14" s="23">
        <f>IF(Lease_Class="Finance",E14+I14,$B$5)</f>
        <v/>
      </c>
      <c r="I14" s="23">
        <f>IF(Lease_Class="Finance",$B$4/Term_1,$B$5-E14)</f>
        <v/>
      </c>
      <c r="J14" s="23">
        <f>$B$4-SUM($I$9:I14)</f>
        <v/>
      </c>
    </row>
    <row r="15">
      <c r="A15" s="21">
        <f>A14+1</f>
        <v/>
      </c>
      <c r="B15" s="22">
        <f>EDATE(Start_Date,A15-1)</f>
        <v/>
      </c>
      <c r="C15" s="23">
        <f>G14</f>
        <v/>
      </c>
      <c r="D15" s="23">
        <f>Pmt_1</f>
        <v/>
      </c>
      <c r="E15" s="23">
        <f>(C15-D15)*Rate_1/12</f>
        <v/>
      </c>
      <c r="F15" s="23">
        <f>D15-E15</f>
        <v/>
      </c>
      <c r="G15" s="23">
        <f>C15-F15</f>
        <v/>
      </c>
      <c r="H15" s="23">
        <f>IF(Lease_Class="Finance",E15+I15,$B$5)</f>
        <v/>
      </c>
      <c r="I15" s="23">
        <f>IF(Lease_Class="Finance",$B$4/Term_1,$B$5-E15)</f>
        <v/>
      </c>
      <c r="J15" s="23">
        <f>$B$4-SUM($I$9:I15)</f>
        <v/>
      </c>
    </row>
    <row r="16">
      <c r="A16" s="21">
        <f>A15+1</f>
        <v/>
      </c>
      <c r="B16" s="22">
        <f>EDATE(Start_Date,A16-1)</f>
        <v/>
      </c>
      <c r="C16" s="23">
        <f>G15</f>
        <v/>
      </c>
      <c r="D16" s="23">
        <f>Pmt_1</f>
        <v/>
      </c>
      <c r="E16" s="23">
        <f>(C16-D16)*Rate_1/12</f>
        <v/>
      </c>
      <c r="F16" s="23">
        <f>D16-E16</f>
        <v/>
      </c>
      <c r="G16" s="23">
        <f>C16-F16</f>
        <v/>
      </c>
      <c r="H16" s="23">
        <f>IF(Lease_Class="Finance",E16+I16,$B$5)</f>
        <v/>
      </c>
      <c r="I16" s="23">
        <f>IF(Lease_Class="Finance",$B$4/Term_1,$B$5-E16)</f>
        <v/>
      </c>
      <c r="J16" s="23">
        <f>$B$4-SUM($I$9:I16)</f>
        <v/>
      </c>
    </row>
    <row r="17">
      <c r="A17" s="21">
        <f>A16+1</f>
        <v/>
      </c>
      <c r="B17" s="22">
        <f>EDATE(Start_Date,A17-1)</f>
        <v/>
      </c>
      <c r="C17" s="23">
        <f>G16</f>
        <v/>
      </c>
      <c r="D17" s="23">
        <f>Pmt_1</f>
        <v/>
      </c>
      <c r="E17" s="23">
        <f>(C17-D17)*Rate_1/12</f>
        <v/>
      </c>
      <c r="F17" s="23">
        <f>D17-E17</f>
        <v/>
      </c>
      <c r="G17" s="23">
        <f>C17-F17</f>
        <v/>
      </c>
      <c r="H17" s="23">
        <f>IF(Lease_Class="Finance",E17+I17,$B$5)</f>
        <v/>
      </c>
      <c r="I17" s="23">
        <f>IF(Lease_Class="Finance",$B$4/Term_1,$B$5-E17)</f>
        <v/>
      </c>
      <c r="J17" s="23">
        <f>$B$4-SUM($I$9:I17)</f>
        <v/>
      </c>
    </row>
    <row r="18">
      <c r="A18" s="21">
        <f>A17+1</f>
        <v/>
      </c>
      <c r="B18" s="22">
        <f>EDATE(Start_Date,A18-1)</f>
        <v/>
      </c>
      <c r="C18" s="23">
        <f>G17</f>
        <v/>
      </c>
      <c r="D18" s="23">
        <f>Pmt_1</f>
        <v/>
      </c>
      <c r="E18" s="23">
        <f>(C18-D18)*Rate_1/12</f>
        <v/>
      </c>
      <c r="F18" s="23">
        <f>D18-E18</f>
        <v/>
      </c>
      <c r="G18" s="23">
        <f>C18-F18</f>
        <v/>
      </c>
      <c r="H18" s="23">
        <f>IF(Lease_Class="Finance",E18+I18,$B$5)</f>
        <v/>
      </c>
      <c r="I18" s="23">
        <f>IF(Lease_Class="Finance",$B$4/Term_1,$B$5-E18)</f>
        <v/>
      </c>
      <c r="J18" s="23">
        <f>$B$4-SUM($I$9:I18)</f>
        <v/>
      </c>
    </row>
    <row r="19">
      <c r="A19" s="21">
        <f>A18+1</f>
        <v/>
      </c>
      <c r="B19" s="22">
        <f>EDATE(Start_Date,A19-1)</f>
        <v/>
      </c>
      <c r="C19" s="23">
        <f>G18</f>
        <v/>
      </c>
      <c r="D19" s="23">
        <f>Pmt_1</f>
        <v/>
      </c>
      <c r="E19" s="23">
        <f>(C19-D19)*Rate_1/12</f>
        <v/>
      </c>
      <c r="F19" s="23">
        <f>D19-E19</f>
        <v/>
      </c>
      <c r="G19" s="23">
        <f>C19-F19</f>
        <v/>
      </c>
      <c r="H19" s="23">
        <f>IF(Lease_Class="Finance",E19+I19,$B$5)</f>
        <v/>
      </c>
      <c r="I19" s="23">
        <f>IF(Lease_Class="Finance",$B$4/Term_1,$B$5-E19)</f>
        <v/>
      </c>
      <c r="J19" s="23">
        <f>$B$4-SUM($I$9:I19)</f>
        <v/>
      </c>
    </row>
    <row r="20">
      <c r="A20" s="21">
        <f>A19+1</f>
        <v/>
      </c>
      <c r="B20" s="22">
        <f>EDATE(Start_Date,A20-1)</f>
        <v/>
      </c>
      <c r="C20" s="23">
        <f>G19</f>
        <v/>
      </c>
      <c r="D20" s="23">
        <f>Pmt_1</f>
        <v/>
      </c>
      <c r="E20" s="23">
        <f>(C20-D20)*Rate_1/12</f>
        <v/>
      </c>
      <c r="F20" s="23">
        <f>D20-E20</f>
        <v/>
      </c>
      <c r="G20" s="23">
        <f>C20-F20</f>
        <v/>
      </c>
      <c r="H20" s="23">
        <f>IF(Lease_Class="Finance",E20+I20,$B$5)</f>
        <v/>
      </c>
      <c r="I20" s="23">
        <f>IF(Lease_Class="Finance",$B$4/Term_1,$B$5-E20)</f>
        <v/>
      </c>
      <c r="J20" s="23">
        <f>$B$4-SUM($I$9:I20)</f>
        <v/>
      </c>
    </row>
    <row r="21">
      <c r="A21" s="21">
        <f>A20+1</f>
        <v/>
      </c>
      <c r="B21" s="22">
        <f>EDATE(Start_Date,A21-1)</f>
        <v/>
      </c>
      <c r="C21" s="23">
        <f>G20</f>
        <v/>
      </c>
      <c r="D21" s="23">
        <f>Pmt_1</f>
        <v/>
      </c>
      <c r="E21" s="23">
        <f>(C21-D21)*Rate_1/12</f>
        <v/>
      </c>
      <c r="F21" s="23">
        <f>D21-E21</f>
        <v/>
      </c>
      <c r="G21" s="23">
        <f>C21-F21</f>
        <v/>
      </c>
      <c r="H21" s="23">
        <f>IF(Lease_Class="Finance",E21+I21,$B$5)</f>
        <v/>
      </c>
      <c r="I21" s="23">
        <f>IF(Lease_Class="Finance",$B$4/Term_1,$B$5-E21)</f>
        <v/>
      </c>
      <c r="J21" s="23">
        <f>$B$4-SUM($I$9:I21)</f>
        <v/>
      </c>
    </row>
    <row r="22">
      <c r="A22" s="21">
        <f>A21+1</f>
        <v/>
      </c>
      <c r="B22" s="22">
        <f>EDATE(Start_Date,A22-1)</f>
        <v/>
      </c>
      <c r="C22" s="23">
        <f>G21</f>
        <v/>
      </c>
      <c r="D22" s="23">
        <f>Pmt_1</f>
        <v/>
      </c>
      <c r="E22" s="23">
        <f>(C22-D22)*Rate_1/12</f>
        <v/>
      </c>
      <c r="F22" s="23">
        <f>D22-E22</f>
        <v/>
      </c>
      <c r="G22" s="23">
        <f>C22-F22</f>
        <v/>
      </c>
      <c r="H22" s="23">
        <f>IF(Lease_Class="Finance",E22+I22,$B$5)</f>
        <v/>
      </c>
      <c r="I22" s="23">
        <f>IF(Lease_Class="Finance",$B$4/Term_1,$B$5-E22)</f>
        <v/>
      </c>
      <c r="J22" s="23">
        <f>$B$4-SUM($I$9:I22)</f>
        <v/>
      </c>
    </row>
    <row r="23">
      <c r="A23" s="21">
        <f>A22+1</f>
        <v/>
      </c>
      <c r="B23" s="22">
        <f>EDATE(Start_Date,A23-1)</f>
        <v/>
      </c>
      <c r="C23" s="23">
        <f>G22</f>
        <v/>
      </c>
      <c r="D23" s="23">
        <f>Pmt_1</f>
        <v/>
      </c>
      <c r="E23" s="23">
        <f>(C23-D23)*Rate_1/12</f>
        <v/>
      </c>
      <c r="F23" s="23">
        <f>D23-E23</f>
        <v/>
      </c>
      <c r="G23" s="23">
        <f>C23-F23</f>
        <v/>
      </c>
      <c r="H23" s="23">
        <f>IF(Lease_Class="Finance",E23+I23,$B$5)</f>
        <v/>
      </c>
      <c r="I23" s="23">
        <f>IF(Lease_Class="Finance",$B$4/Term_1,$B$5-E23)</f>
        <v/>
      </c>
      <c r="J23" s="23">
        <f>$B$4-SUM($I$9:I23)</f>
        <v/>
      </c>
    </row>
    <row r="24">
      <c r="A24" s="21">
        <f>A23+1</f>
        <v/>
      </c>
      <c r="B24" s="22">
        <f>EDATE(Start_Date,A24-1)</f>
        <v/>
      </c>
      <c r="C24" s="23">
        <f>G23</f>
        <v/>
      </c>
      <c r="D24" s="23">
        <f>Pmt_1</f>
        <v/>
      </c>
      <c r="E24" s="23">
        <f>(C24-D24)*Rate_1/12</f>
        <v/>
      </c>
      <c r="F24" s="23">
        <f>D24-E24</f>
        <v/>
      </c>
      <c r="G24" s="23">
        <f>C24-F24</f>
        <v/>
      </c>
      <c r="H24" s="23">
        <f>IF(Lease_Class="Finance",E24+I24,$B$5)</f>
        <v/>
      </c>
      <c r="I24" s="23">
        <f>IF(Lease_Class="Finance",$B$4/Term_1,$B$5-E24)</f>
        <v/>
      </c>
      <c r="J24" s="23">
        <f>$B$4-SUM($I$9:I24)</f>
        <v/>
      </c>
    </row>
    <row r="25">
      <c r="A25" s="21">
        <f>A24+1</f>
        <v/>
      </c>
      <c r="B25" s="22">
        <f>EDATE(Start_Date,A25-1)</f>
        <v/>
      </c>
      <c r="C25" s="23">
        <f>G24</f>
        <v/>
      </c>
      <c r="D25" s="23">
        <f>Pmt_1</f>
        <v/>
      </c>
      <c r="E25" s="23">
        <f>(C25-D25)*Rate_1/12</f>
        <v/>
      </c>
      <c r="F25" s="23">
        <f>D25-E25</f>
        <v/>
      </c>
      <c r="G25" s="23">
        <f>C25-F25</f>
        <v/>
      </c>
      <c r="H25" s="23">
        <f>IF(Lease_Class="Finance",E25+I25,$B$5)</f>
        <v/>
      </c>
      <c r="I25" s="23">
        <f>IF(Lease_Class="Finance",$B$4/Term_1,$B$5-E25)</f>
        <v/>
      </c>
      <c r="J25" s="23">
        <f>$B$4-SUM($I$9:I25)</f>
        <v/>
      </c>
    </row>
    <row r="26">
      <c r="A26" s="21">
        <f>A25+1</f>
        <v/>
      </c>
      <c r="B26" s="22">
        <f>EDATE(Start_Date,A26-1)</f>
        <v/>
      </c>
      <c r="C26" s="23">
        <f>G25</f>
        <v/>
      </c>
      <c r="D26" s="23">
        <f>Pmt_1</f>
        <v/>
      </c>
      <c r="E26" s="23">
        <f>(C26-D26)*Rate_1/12</f>
        <v/>
      </c>
      <c r="F26" s="23">
        <f>D26-E26</f>
        <v/>
      </c>
      <c r="G26" s="23">
        <f>C26-F26</f>
        <v/>
      </c>
      <c r="H26" s="23">
        <f>IF(Lease_Class="Finance",E26+I26,$B$5)</f>
        <v/>
      </c>
      <c r="I26" s="23">
        <f>IF(Lease_Class="Finance",$B$4/Term_1,$B$5-E26)</f>
        <v/>
      </c>
      <c r="J26" s="23">
        <f>$B$4-SUM($I$9:I26)</f>
        <v/>
      </c>
    </row>
    <row r="27">
      <c r="A27" s="21">
        <f>A26+1</f>
        <v/>
      </c>
      <c r="B27" s="22">
        <f>EDATE(Start_Date,A27-1)</f>
        <v/>
      </c>
      <c r="C27" s="23">
        <f>G26</f>
        <v/>
      </c>
      <c r="D27" s="23">
        <f>Pmt_1</f>
        <v/>
      </c>
      <c r="E27" s="23">
        <f>(C27-D27)*Rate_1/12</f>
        <v/>
      </c>
      <c r="F27" s="23">
        <f>D27-E27</f>
        <v/>
      </c>
      <c r="G27" s="23">
        <f>C27-F27</f>
        <v/>
      </c>
      <c r="H27" s="23">
        <f>IF(Lease_Class="Finance",E27+I27,$B$5)</f>
        <v/>
      </c>
      <c r="I27" s="23">
        <f>IF(Lease_Class="Finance",$B$4/Term_1,$B$5-E27)</f>
        <v/>
      </c>
      <c r="J27" s="23">
        <f>$B$4-SUM($I$9:I27)</f>
        <v/>
      </c>
    </row>
    <row r="28">
      <c r="A28" s="21">
        <f>A27+1</f>
        <v/>
      </c>
      <c r="B28" s="22">
        <f>EDATE(Start_Date,A28-1)</f>
        <v/>
      </c>
      <c r="C28" s="23">
        <f>G27</f>
        <v/>
      </c>
      <c r="D28" s="23">
        <f>Pmt_1</f>
        <v/>
      </c>
      <c r="E28" s="23">
        <f>(C28-D28)*Rate_1/12</f>
        <v/>
      </c>
      <c r="F28" s="23">
        <f>D28-E28</f>
        <v/>
      </c>
      <c r="G28" s="23">
        <f>C28-F28</f>
        <v/>
      </c>
      <c r="H28" s="23">
        <f>IF(Lease_Class="Finance",E28+I28,$B$5)</f>
        <v/>
      </c>
      <c r="I28" s="23">
        <f>IF(Lease_Class="Finance",$B$4/Term_1,$B$5-E28)</f>
        <v/>
      </c>
      <c r="J28" s="23">
        <f>$B$4-SUM($I$9:I28)</f>
        <v/>
      </c>
    </row>
    <row r="29">
      <c r="A29" s="21">
        <f>A28+1</f>
        <v/>
      </c>
      <c r="B29" s="22">
        <f>EDATE(Start_Date,A29-1)</f>
        <v/>
      </c>
      <c r="C29" s="23">
        <f>G28</f>
        <v/>
      </c>
      <c r="D29" s="23">
        <f>Pmt_1</f>
        <v/>
      </c>
      <c r="E29" s="23">
        <f>(C29-D29)*Rate_1/12</f>
        <v/>
      </c>
      <c r="F29" s="23">
        <f>D29-E29</f>
        <v/>
      </c>
      <c r="G29" s="23">
        <f>C29-F29</f>
        <v/>
      </c>
      <c r="H29" s="23">
        <f>IF(Lease_Class="Finance",E29+I29,$B$5)</f>
        <v/>
      </c>
      <c r="I29" s="23">
        <f>IF(Lease_Class="Finance",$B$4/Term_1,$B$5-E29)</f>
        <v/>
      </c>
      <c r="J29" s="23">
        <f>$B$4-SUM($I$9:I29)</f>
        <v/>
      </c>
    </row>
    <row r="30">
      <c r="A30" s="21">
        <f>A29+1</f>
        <v/>
      </c>
      <c r="B30" s="22">
        <f>EDATE(Start_Date,A30-1)</f>
        <v/>
      </c>
      <c r="C30" s="23">
        <f>G29</f>
        <v/>
      </c>
      <c r="D30" s="23">
        <f>Pmt_1</f>
        <v/>
      </c>
      <c r="E30" s="23">
        <f>(C30-D30)*Rate_1/12</f>
        <v/>
      </c>
      <c r="F30" s="23">
        <f>D30-E30</f>
        <v/>
      </c>
      <c r="G30" s="23">
        <f>C30-F30</f>
        <v/>
      </c>
      <c r="H30" s="23">
        <f>IF(Lease_Class="Finance",E30+I30,$B$5)</f>
        <v/>
      </c>
      <c r="I30" s="23">
        <f>IF(Lease_Class="Finance",$B$4/Term_1,$B$5-E30)</f>
        <v/>
      </c>
      <c r="J30" s="23">
        <f>$B$4-SUM($I$9:I30)</f>
        <v/>
      </c>
    </row>
    <row r="31">
      <c r="A31" s="21">
        <f>A30+1</f>
        <v/>
      </c>
      <c r="B31" s="22">
        <f>EDATE(Start_Date,A31-1)</f>
        <v/>
      </c>
      <c r="C31" s="23">
        <f>G30</f>
        <v/>
      </c>
      <c r="D31" s="23">
        <f>Pmt_1</f>
        <v/>
      </c>
      <c r="E31" s="23">
        <f>(C31-D31)*Rate_1/12</f>
        <v/>
      </c>
      <c r="F31" s="23">
        <f>D31-E31</f>
        <v/>
      </c>
      <c r="G31" s="23">
        <f>C31-F31</f>
        <v/>
      </c>
      <c r="H31" s="23">
        <f>IF(Lease_Class="Finance",E31+I31,$B$5)</f>
        <v/>
      </c>
      <c r="I31" s="23">
        <f>IF(Lease_Class="Finance",$B$4/Term_1,$B$5-E31)</f>
        <v/>
      </c>
      <c r="J31" s="23">
        <f>$B$4-SUM($I$9:I31)</f>
        <v/>
      </c>
    </row>
    <row r="32">
      <c r="A32" s="21">
        <f>A31+1</f>
        <v/>
      </c>
      <c r="B32" s="22">
        <f>EDATE(Start_Date,A32-1)</f>
        <v/>
      </c>
      <c r="C32" s="23">
        <f>G31</f>
        <v/>
      </c>
      <c r="D32" s="23">
        <f>Pmt_1</f>
        <v/>
      </c>
      <c r="E32" s="23">
        <f>(C32-D32)*Rate_1/12</f>
        <v/>
      </c>
      <c r="F32" s="23">
        <f>D32-E32</f>
        <v/>
      </c>
      <c r="G32" s="23">
        <f>C32-F32</f>
        <v/>
      </c>
      <c r="H32" s="23">
        <f>IF(Lease_Class="Finance",E32+I32,$B$5)</f>
        <v/>
      </c>
      <c r="I32" s="23">
        <f>IF(Lease_Class="Finance",$B$4/Term_1,$B$5-E32)</f>
        <v/>
      </c>
      <c r="J32" s="23">
        <f>$B$4-SUM($I$9:I32)</f>
        <v/>
      </c>
    </row>
    <row r="33">
      <c r="A33" s="21">
        <f>A32+1</f>
        <v/>
      </c>
      <c r="B33" s="22">
        <f>EDATE(Start_Date,A33-1)</f>
        <v/>
      </c>
      <c r="C33" s="23">
        <f>G32</f>
        <v/>
      </c>
      <c r="D33" s="23">
        <f>Pmt_1</f>
        <v/>
      </c>
      <c r="E33" s="23">
        <f>(C33-D33)*Rate_1/12</f>
        <v/>
      </c>
      <c r="F33" s="23">
        <f>D33-E33</f>
        <v/>
      </c>
      <c r="G33" s="23">
        <f>C33-F33</f>
        <v/>
      </c>
      <c r="H33" s="23">
        <f>IF(Lease_Class="Finance",E33+I33,$B$5)</f>
        <v/>
      </c>
      <c r="I33" s="23">
        <f>IF(Lease_Class="Finance",$B$4/Term_1,$B$5-E33)</f>
        <v/>
      </c>
      <c r="J33" s="23">
        <f>$B$4-SUM($I$9:I33)</f>
        <v/>
      </c>
    </row>
    <row r="34">
      <c r="A34" s="21">
        <f>A33+1</f>
        <v/>
      </c>
      <c r="B34" s="22">
        <f>EDATE(Start_Date,A34-1)</f>
        <v/>
      </c>
      <c r="C34" s="23">
        <f>G33</f>
        <v/>
      </c>
      <c r="D34" s="23">
        <f>Pmt_1</f>
        <v/>
      </c>
      <c r="E34" s="23">
        <f>(C34-D34)*Rate_1/12</f>
        <v/>
      </c>
      <c r="F34" s="23">
        <f>D34-E34</f>
        <v/>
      </c>
      <c r="G34" s="23">
        <f>C34-F34</f>
        <v/>
      </c>
      <c r="H34" s="23">
        <f>IF(Lease_Class="Finance",E34+I34,$B$5)</f>
        <v/>
      </c>
      <c r="I34" s="23">
        <f>IF(Lease_Class="Finance",$B$4/Term_1,$B$5-E34)</f>
        <v/>
      </c>
      <c r="J34" s="23">
        <f>$B$4-SUM($I$9:I34)</f>
        <v/>
      </c>
    </row>
    <row r="35">
      <c r="A35" s="21">
        <f>A34+1</f>
        <v/>
      </c>
      <c r="B35" s="22">
        <f>EDATE(Start_Date,A35-1)</f>
        <v/>
      </c>
      <c r="C35" s="23">
        <f>G34</f>
        <v/>
      </c>
      <c r="D35" s="23">
        <f>Pmt_1</f>
        <v/>
      </c>
      <c r="E35" s="23">
        <f>(C35-D35)*Rate_1/12</f>
        <v/>
      </c>
      <c r="F35" s="23">
        <f>D35-E35</f>
        <v/>
      </c>
      <c r="G35" s="23">
        <f>C35-F35</f>
        <v/>
      </c>
      <c r="H35" s="23">
        <f>IF(Lease_Class="Finance",E35+I35,$B$5)</f>
        <v/>
      </c>
      <c r="I35" s="23">
        <f>IF(Lease_Class="Finance",$B$4/Term_1,$B$5-E35)</f>
        <v/>
      </c>
      <c r="J35" s="23">
        <f>$B$4-SUM($I$9:I35)</f>
        <v/>
      </c>
    </row>
    <row r="36">
      <c r="A36" s="21">
        <f>A35+1</f>
        <v/>
      </c>
      <c r="B36" s="22">
        <f>EDATE(Start_Date,A36-1)</f>
        <v/>
      </c>
      <c r="C36" s="23">
        <f>G35</f>
        <v/>
      </c>
      <c r="D36" s="23">
        <f>Pmt_1</f>
        <v/>
      </c>
      <c r="E36" s="23">
        <f>(C36-D36)*Rate_1/12</f>
        <v/>
      </c>
      <c r="F36" s="23">
        <f>D36-E36</f>
        <v/>
      </c>
      <c r="G36" s="23">
        <f>C36-F36</f>
        <v/>
      </c>
      <c r="H36" s="23">
        <f>IF(Lease_Class="Finance",E36+I36,$B$5)</f>
        <v/>
      </c>
      <c r="I36" s="23">
        <f>IF(Lease_Class="Finance",$B$4/Term_1,$B$5-E36)</f>
        <v/>
      </c>
      <c r="J36" s="23">
        <f>$B$4-SUM($I$9:I36)</f>
        <v/>
      </c>
    </row>
    <row r="37">
      <c r="A37" s="21">
        <f>A36+1</f>
        <v/>
      </c>
      <c r="B37" s="22">
        <f>EDATE(Start_Date,A37-1)</f>
        <v/>
      </c>
      <c r="C37" s="23">
        <f>G36</f>
        <v/>
      </c>
      <c r="D37" s="23">
        <f>Pmt_1</f>
        <v/>
      </c>
      <c r="E37" s="23">
        <f>(C37-D37)*Rate_1/12</f>
        <v/>
      </c>
      <c r="F37" s="23">
        <f>D37-E37</f>
        <v/>
      </c>
      <c r="G37" s="23">
        <f>C37-F37</f>
        <v/>
      </c>
      <c r="H37" s="23">
        <f>IF(Lease_Class="Finance",E37+I37,$B$5)</f>
        <v/>
      </c>
      <c r="I37" s="23">
        <f>IF(Lease_Class="Finance",$B$4/Term_1,$B$5-E37)</f>
        <v/>
      </c>
      <c r="J37" s="23">
        <f>$B$4-SUM($I$9:I37)</f>
        <v/>
      </c>
    </row>
    <row r="38">
      <c r="A38" s="21">
        <f>A37+1</f>
        <v/>
      </c>
      <c r="B38" s="22">
        <f>EDATE(Start_Date,A38-1)</f>
        <v/>
      </c>
      <c r="C38" s="23">
        <f>G37</f>
        <v/>
      </c>
      <c r="D38" s="23">
        <f>Pmt_1</f>
        <v/>
      </c>
      <c r="E38" s="23">
        <f>(C38-D38)*Rate_1/12</f>
        <v/>
      </c>
      <c r="F38" s="23">
        <f>D38-E38</f>
        <v/>
      </c>
      <c r="G38" s="23">
        <f>C38-F38</f>
        <v/>
      </c>
      <c r="H38" s="23">
        <f>IF(Lease_Class="Finance",E38+I38,$B$5)</f>
        <v/>
      </c>
      <c r="I38" s="23">
        <f>IF(Lease_Class="Finance",$B$4/Term_1,$B$5-E38)</f>
        <v/>
      </c>
      <c r="J38" s="23">
        <f>$B$4-SUM($I$9:I38)</f>
        <v/>
      </c>
    </row>
    <row r="39">
      <c r="A39" s="21">
        <f>A38+1</f>
        <v/>
      </c>
      <c r="B39" s="22">
        <f>EDATE(Start_Date,A39-1)</f>
        <v/>
      </c>
      <c r="C39" s="23">
        <f>G38</f>
        <v/>
      </c>
      <c r="D39" s="23">
        <f>Pmt_1</f>
        <v/>
      </c>
      <c r="E39" s="23">
        <f>(C39-D39)*Rate_1/12</f>
        <v/>
      </c>
      <c r="F39" s="23">
        <f>D39-E39</f>
        <v/>
      </c>
      <c r="G39" s="23">
        <f>C39-F39</f>
        <v/>
      </c>
      <c r="H39" s="23">
        <f>IF(Lease_Class="Finance",E39+I39,$B$5)</f>
        <v/>
      </c>
      <c r="I39" s="23">
        <f>IF(Lease_Class="Finance",$B$4/Term_1,$B$5-E39)</f>
        <v/>
      </c>
      <c r="J39" s="23">
        <f>$B$4-SUM($I$9:I39)</f>
        <v/>
      </c>
    </row>
    <row r="40">
      <c r="A40" s="21">
        <f>A39+1</f>
        <v/>
      </c>
      <c r="B40" s="22">
        <f>EDATE(Start_Date,A40-1)</f>
        <v/>
      </c>
      <c r="C40" s="23">
        <f>G39</f>
        <v/>
      </c>
      <c r="D40" s="23">
        <f>Pmt_1</f>
        <v/>
      </c>
      <c r="E40" s="23">
        <f>(C40-D40)*Rate_1/12</f>
        <v/>
      </c>
      <c r="F40" s="23">
        <f>D40-E40</f>
        <v/>
      </c>
      <c r="G40" s="23">
        <f>C40-F40</f>
        <v/>
      </c>
      <c r="H40" s="23">
        <f>IF(Lease_Class="Finance",E40+I40,$B$5)</f>
        <v/>
      </c>
      <c r="I40" s="23">
        <f>IF(Lease_Class="Finance",$B$4/Term_1,$B$5-E40)</f>
        <v/>
      </c>
      <c r="J40" s="23">
        <f>$B$4-SUM($I$9:I40)</f>
        <v/>
      </c>
    </row>
    <row r="41">
      <c r="A41" s="21">
        <f>A40+1</f>
        <v/>
      </c>
      <c r="B41" s="22">
        <f>EDATE(Start_Date,A41-1)</f>
        <v/>
      </c>
      <c r="C41" s="23">
        <f>G40</f>
        <v/>
      </c>
      <c r="D41" s="23">
        <f>Pmt_1</f>
        <v/>
      </c>
      <c r="E41" s="23">
        <f>(C41-D41)*Rate_1/12</f>
        <v/>
      </c>
      <c r="F41" s="23">
        <f>D41-E41</f>
        <v/>
      </c>
      <c r="G41" s="23">
        <f>C41-F41</f>
        <v/>
      </c>
      <c r="H41" s="23">
        <f>IF(Lease_Class="Finance",E41+I41,$B$5)</f>
        <v/>
      </c>
      <c r="I41" s="23">
        <f>IF(Lease_Class="Finance",$B$4/Term_1,$B$5-E41)</f>
        <v/>
      </c>
      <c r="J41" s="23">
        <f>$B$4-SUM($I$9:I41)</f>
        <v/>
      </c>
    </row>
    <row r="42">
      <c r="A42" s="21">
        <f>A41+1</f>
        <v/>
      </c>
      <c r="B42" s="22">
        <f>EDATE(Start_Date,A42-1)</f>
        <v/>
      </c>
      <c r="C42" s="23">
        <f>G41</f>
        <v/>
      </c>
      <c r="D42" s="23">
        <f>Pmt_1</f>
        <v/>
      </c>
      <c r="E42" s="23">
        <f>(C42-D42)*Rate_1/12</f>
        <v/>
      </c>
      <c r="F42" s="23">
        <f>D42-E42</f>
        <v/>
      </c>
      <c r="G42" s="23">
        <f>C42-F42</f>
        <v/>
      </c>
      <c r="H42" s="23">
        <f>IF(Lease_Class="Finance",E42+I42,$B$5)</f>
        <v/>
      </c>
      <c r="I42" s="23">
        <f>IF(Lease_Class="Finance",$B$4/Term_1,$B$5-E42)</f>
        <v/>
      </c>
      <c r="J42" s="23">
        <f>$B$4-SUM($I$9:I42)</f>
        <v/>
      </c>
    </row>
    <row r="43">
      <c r="A43" s="21">
        <f>A42+1</f>
        <v/>
      </c>
      <c r="B43" s="22">
        <f>EDATE(Start_Date,A43-1)</f>
        <v/>
      </c>
      <c r="C43" s="23">
        <f>G42</f>
        <v/>
      </c>
      <c r="D43" s="23">
        <f>Pmt_1</f>
        <v/>
      </c>
      <c r="E43" s="23">
        <f>(C43-D43)*Rate_1/12</f>
        <v/>
      </c>
      <c r="F43" s="23">
        <f>D43-E43</f>
        <v/>
      </c>
      <c r="G43" s="23">
        <f>C43-F43</f>
        <v/>
      </c>
      <c r="H43" s="23">
        <f>IF(Lease_Class="Finance",E43+I43,$B$5)</f>
        <v/>
      </c>
      <c r="I43" s="23">
        <f>IF(Lease_Class="Finance",$B$4/Term_1,$B$5-E43)</f>
        <v/>
      </c>
      <c r="J43" s="23">
        <f>$B$4-SUM($I$9:I43)</f>
        <v/>
      </c>
    </row>
    <row r="44">
      <c r="A44" s="21">
        <f>A43+1</f>
        <v/>
      </c>
      <c r="B44" s="22">
        <f>EDATE(Start_Date,A44-1)</f>
        <v/>
      </c>
      <c r="C44" s="23">
        <f>G43</f>
        <v/>
      </c>
      <c r="D44" s="23">
        <f>Pmt_1</f>
        <v/>
      </c>
      <c r="E44" s="23">
        <f>(C44-D44)*Rate_1/12</f>
        <v/>
      </c>
      <c r="F44" s="23">
        <f>D44-E44</f>
        <v/>
      </c>
      <c r="G44" s="23">
        <f>C44-F44</f>
        <v/>
      </c>
      <c r="H44" s="23">
        <f>IF(Lease_Class="Finance",E44+I44,$B$5)</f>
        <v/>
      </c>
      <c r="I44" s="23">
        <f>IF(Lease_Class="Finance",$B$4/Term_1,$B$5-E44)</f>
        <v/>
      </c>
      <c r="J44" s="23">
        <f>$B$4-SUM($I$9:I44)</f>
        <v/>
      </c>
    </row>
    <row r="45">
      <c r="A45" s="21">
        <f>A44+1</f>
        <v/>
      </c>
      <c r="B45" s="22">
        <f>EDATE(Start_Date,A45-1)</f>
        <v/>
      </c>
      <c r="C45" s="23">
        <f>G44</f>
        <v/>
      </c>
      <c r="D45" s="23">
        <f>Pmt_1</f>
        <v/>
      </c>
      <c r="E45" s="23">
        <f>(C45-D45)*Rate_1/12</f>
        <v/>
      </c>
      <c r="F45" s="23">
        <f>D45-E45</f>
        <v/>
      </c>
      <c r="G45" s="23">
        <f>C45-F45</f>
        <v/>
      </c>
      <c r="H45" s="23">
        <f>IF(Lease_Class="Finance",E45+I45,$B$5)</f>
        <v/>
      </c>
      <c r="I45" s="23">
        <f>IF(Lease_Class="Finance",$B$4/Term_1,$B$5-E45)</f>
        <v/>
      </c>
      <c r="J45" s="23">
        <f>$B$4-SUM($I$9:I45)</f>
        <v/>
      </c>
    </row>
    <row r="46">
      <c r="A46" s="21">
        <f>A45+1</f>
        <v/>
      </c>
      <c r="B46" s="22">
        <f>EDATE(Start_Date,A46-1)</f>
        <v/>
      </c>
      <c r="C46" s="23">
        <f>G45</f>
        <v/>
      </c>
      <c r="D46" s="23">
        <f>Pmt_1</f>
        <v/>
      </c>
      <c r="E46" s="23">
        <f>(C46-D46)*Rate_1/12</f>
        <v/>
      </c>
      <c r="F46" s="23">
        <f>D46-E46</f>
        <v/>
      </c>
      <c r="G46" s="23">
        <f>C46-F46</f>
        <v/>
      </c>
      <c r="H46" s="23">
        <f>IF(Lease_Class="Finance",E46+I46,$B$5)</f>
        <v/>
      </c>
      <c r="I46" s="23">
        <f>IF(Lease_Class="Finance",$B$4/Term_1,$B$5-E46)</f>
        <v/>
      </c>
      <c r="J46" s="23">
        <f>$B$4-SUM($I$9:I46)</f>
        <v/>
      </c>
    </row>
    <row r="47">
      <c r="A47" s="21">
        <f>A46+1</f>
        <v/>
      </c>
      <c r="B47" s="22">
        <f>EDATE(Start_Date,A47-1)</f>
        <v/>
      </c>
      <c r="C47" s="23">
        <f>G46</f>
        <v/>
      </c>
      <c r="D47" s="23">
        <f>Pmt_1</f>
        <v/>
      </c>
      <c r="E47" s="23">
        <f>(C47-D47)*Rate_1/12</f>
        <v/>
      </c>
      <c r="F47" s="23">
        <f>D47-E47</f>
        <v/>
      </c>
      <c r="G47" s="23">
        <f>C47-F47</f>
        <v/>
      </c>
      <c r="H47" s="23">
        <f>IF(Lease_Class="Finance",E47+I47,$B$5)</f>
        <v/>
      </c>
      <c r="I47" s="23">
        <f>IF(Lease_Class="Finance",$B$4/Term_1,$B$5-E47)</f>
        <v/>
      </c>
      <c r="J47" s="23">
        <f>$B$4-SUM($I$9:I47)</f>
        <v/>
      </c>
    </row>
    <row r="48">
      <c r="A48" s="21">
        <f>A47+1</f>
        <v/>
      </c>
      <c r="B48" s="22">
        <f>EDATE(Start_Date,A48-1)</f>
        <v/>
      </c>
      <c r="C48" s="23">
        <f>G47</f>
        <v/>
      </c>
      <c r="D48" s="23">
        <f>Pmt_1</f>
        <v/>
      </c>
      <c r="E48" s="23">
        <f>(C48-D48)*Rate_1/12</f>
        <v/>
      </c>
      <c r="F48" s="23">
        <f>D48-E48</f>
        <v/>
      </c>
      <c r="G48" s="23">
        <f>C48-F48</f>
        <v/>
      </c>
      <c r="H48" s="23">
        <f>IF(Lease_Class="Finance",E48+I48,$B$5)</f>
        <v/>
      </c>
      <c r="I48" s="23">
        <f>IF(Lease_Class="Finance",$B$4/Term_1,$B$5-E48)</f>
        <v/>
      </c>
      <c r="J48" s="23">
        <f>$B$4-SUM($I$9:I48)</f>
        <v/>
      </c>
    </row>
    <row r="49">
      <c r="A49" s="21">
        <f>A48+1</f>
        <v/>
      </c>
      <c r="B49" s="22">
        <f>EDATE(Start_Date,A49-1)</f>
        <v/>
      </c>
      <c r="C49" s="23">
        <f>G48</f>
        <v/>
      </c>
      <c r="D49" s="23">
        <f>Pmt_1</f>
        <v/>
      </c>
      <c r="E49" s="23">
        <f>(C49-D49)*Rate_1/12</f>
        <v/>
      </c>
      <c r="F49" s="23">
        <f>D49-E49</f>
        <v/>
      </c>
      <c r="G49" s="23">
        <f>C49-F49</f>
        <v/>
      </c>
      <c r="H49" s="23">
        <f>IF(Lease_Class="Finance",E49+I49,$B$5)</f>
        <v/>
      </c>
      <c r="I49" s="23">
        <f>IF(Lease_Class="Finance",$B$4/Term_1,$B$5-E49)</f>
        <v/>
      </c>
      <c r="J49" s="23">
        <f>$B$4-SUM($I$9:I49)</f>
        <v/>
      </c>
    </row>
    <row r="50">
      <c r="A50" s="21">
        <f>A49+1</f>
        <v/>
      </c>
      <c r="B50" s="22">
        <f>EDATE(Start_Date,A50-1)</f>
        <v/>
      </c>
      <c r="C50" s="23">
        <f>G49</f>
        <v/>
      </c>
      <c r="D50" s="23">
        <f>Pmt_1</f>
        <v/>
      </c>
      <c r="E50" s="23">
        <f>(C50-D50)*Rate_1/12</f>
        <v/>
      </c>
      <c r="F50" s="23">
        <f>D50-E50</f>
        <v/>
      </c>
      <c r="G50" s="23">
        <f>C50-F50</f>
        <v/>
      </c>
      <c r="H50" s="23">
        <f>IF(Lease_Class="Finance",E50+I50,$B$5)</f>
        <v/>
      </c>
      <c r="I50" s="23">
        <f>IF(Lease_Class="Finance",$B$4/Term_1,$B$5-E50)</f>
        <v/>
      </c>
      <c r="J50" s="23">
        <f>$B$4-SUM($I$9:I50)</f>
        <v/>
      </c>
    </row>
    <row r="51">
      <c r="A51" s="21">
        <f>A50+1</f>
        <v/>
      </c>
      <c r="B51" s="22">
        <f>EDATE(Start_Date,A51-1)</f>
        <v/>
      </c>
      <c r="C51" s="23">
        <f>G50</f>
        <v/>
      </c>
      <c r="D51" s="23">
        <f>Pmt_1</f>
        <v/>
      </c>
      <c r="E51" s="23">
        <f>(C51-D51)*Rate_1/12</f>
        <v/>
      </c>
      <c r="F51" s="23">
        <f>D51-E51</f>
        <v/>
      </c>
      <c r="G51" s="23">
        <f>C51-F51</f>
        <v/>
      </c>
      <c r="H51" s="23">
        <f>IF(Lease_Class="Finance",E51+I51,$B$5)</f>
        <v/>
      </c>
      <c r="I51" s="23">
        <f>IF(Lease_Class="Finance",$B$4/Term_1,$B$5-E51)</f>
        <v/>
      </c>
      <c r="J51" s="23">
        <f>$B$4-SUM($I$9:I51)</f>
        <v/>
      </c>
    </row>
    <row r="52">
      <c r="A52" s="21">
        <f>A51+1</f>
        <v/>
      </c>
      <c r="B52" s="22">
        <f>EDATE(Start_Date,A52-1)</f>
        <v/>
      </c>
      <c r="C52" s="23">
        <f>G51</f>
        <v/>
      </c>
      <c r="D52" s="23">
        <f>Pmt_1</f>
        <v/>
      </c>
      <c r="E52" s="23">
        <f>(C52-D52)*Rate_1/12</f>
        <v/>
      </c>
      <c r="F52" s="23">
        <f>D52-E52</f>
        <v/>
      </c>
      <c r="G52" s="23">
        <f>C52-F52</f>
        <v/>
      </c>
      <c r="H52" s="23">
        <f>IF(Lease_Class="Finance",E52+I52,$B$5)</f>
        <v/>
      </c>
      <c r="I52" s="23">
        <f>IF(Lease_Class="Finance",$B$4/Term_1,$B$5-E52)</f>
        <v/>
      </c>
      <c r="J52" s="23">
        <f>$B$4-SUM($I$9:I52)</f>
        <v/>
      </c>
    </row>
    <row r="53">
      <c r="A53" s="21">
        <f>A52+1</f>
        <v/>
      </c>
      <c r="B53" s="22">
        <f>EDATE(Start_Date,A53-1)</f>
        <v/>
      </c>
      <c r="C53" s="23">
        <f>G52</f>
        <v/>
      </c>
      <c r="D53" s="23">
        <f>Pmt_1</f>
        <v/>
      </c>
      <c r="E53" s="23">
        <f>(C53-D53)*Rate_1/12</f>
        <v/>
      </c>
      <c r="F53" s="23">
        <f>D53-E53</f>
        <v/>
      </c>
      <c r="G53" s="23">
        <f>C53-F53</f>
        <v/>
      </c>
      <c r="H53" s="23">
        <f>IF(Lease_Class="Finance",E53+I53,$B$5)</f>
        <v/>
      </c>
      <c r="I53" s="23">
        <f>IF(Lease_Class="Finance",$B$4/Term_1,$B$5-E53)</f>
        <v/>
      </c>
      <c r="J53" s="23">
        <f>$B$4-SUM($I$9:I53)</f>
        <v/>
      </c>
    </row>
    <row r="54">
      <c r="A54" s="21">
        <f>A53+1</f>
        <v/>
      </c>
      <c r="B54" s="22">
        <f>EDATE(Start_Date,A54-1)</f>
        <v/>
      </c>
      <c r="C54" s="23">
        <f>G53</f>
        <v/>
      </c>
      <c r="D54" s="23">
        <f>Pmt_1</f>
        <v/>
      </c>
      <c r="E54" s="23">
        <f>(C54-D54)*Rate_1/12</f>
        <v/>
      </c>
      <c r="F54" s="23">
        <f>D54-E54</f>
        <v/>
      </c>
      <c r="G54" s="23">
        <f>C54-F54</f>
        <v/>
      </c>
      <c r="H54" s="23">
        <f>IF(Lease_Class="Finance",E54+I54,$B$5)</f>
        <v/>
      </c>
      <c r="I54" s="23">
        <f>IF(Lease_Class="Finance",$B$4/Term_1,$B$5-E54)</f>
        <v/>
      </c>
      <c r="J54" s="23">
        <f>$B$4-SUM($I$9:I54)</f>
        <v/>
      </c>
    </row>
    <row r="55">
      <c r="A55" s="21">
        <f>A54+1</f>
        <v/>
      </c>
      <c r="B55" s="22">
        <f>EDATE(Start_Date,A55-1)</f>
        <v/>
      </c>
      <c r="C55" s="23">
        <f>G54</f>
        <v/>
      </c>
      <c r="D55" s="23">
        <f>Pmt_1</f>
        <v/>
      </c>
      <c r="E55" s="23">
        <f>(C55-D55)*Rate_1/12</f>
        <v/>
      </c>
      <c r="F55" s="23">
        <f>D55-E55</f>
        <v/>
      </c>
      <c r="G55" s="23">
        <f>C55-F55</f>
        <v/>
      </c>
      <c r="H55" s="23">
        <f>IF(Lease_Class="Finance",E55+I55,$B$5)</f>
        <v/>
      </c>
      <c r="I55" s="23">
        <f>IF(Lease_Class="Finance",$B$4/Term_1,$B$5-E55)</f>
        <v/>
      </c>
      <c r="J55" s="23">
        <f>$B$4-SUM($I$9:I55)</f>
        <v/>
      </c>
    </row>
    <row r="56">
      <c r="A56" s="21">
        <f>A55+1</f>
        <v/>
      </c>
      <c r="B56" s="22">
        <f>EDATE(Start_Date,A56-1)</f>
        <v/>
      </c>
      <c r="C56" s="23">
        <f>G55</f>
        <v/>
      </c>
      <c r="D56" s="23">
        <f>Pmt_1</f>
        <v/>
      </c>
      <c r="E56" s="23">
        <f>(C56-D56)*Rate_1/12</f>
        <v/>
      </c>
      <c r="F56" s="23">
        <f>D56-E56</f>
        <v/>
      </c>
      <c r="G56" s="23">
        <f>C56-F56</f>
        <v/>
      </c>
      <c r="H56" s="23">
        <f>IF(Lease_Class="Finance",E56+I56,$B$5)</f>
        <v/>
      </c>
      <c r="I56" s="23">
        <f>IF(Lease_Class="Finance",$B$4/Term_1,$B$5-E56)</f>
        <v/>
      </c>
      <c r="J56" s="23">
        <f>$B$4-SUM($I$9:I56)</f>
        <v/>
      </c>
    </row>
    <row r="57">
      <c r="A57" s="21">
        <f>A56+1</f>
        <v/>
      </c>
      <c r="B57" s="22">
        <f>EDATE(Start_Date,A57-1)</f>
        <v/>
      </c>
      <c r="C57" s="23">
        <f>G56</f>
        <v/>
      </c>
      <c r="D57" s="23">
        <f>Pmt_1</f>
        <v/>
      </c>
      <c r="E57" s="23">
        <f>(C57-D57)*Rate_1/12</f>
        <v/>
      </c>
      <c r="F57" s="23">
        <f>D57-E57</f>
        <v/>
      </c>
      <c r="G57" s="23">
        <f>C57-F57</f>
        <v/>
      </c>
      <c r="H57" s="23">
        <f>IF(Lease_Class="Finance",E57+I57,$B$5)</f>
        <v/>
      </c>
      <c r="I57" s="23">
        <f>IF(Lease_Class="Finance",$B$4/Term_1,$B$5-E57)</f>
        <v/>
      </c>
      <c r="J57" s="23">
        <f>$B$4-SUM($I$9:I57)</f>
        <v/>
      </c>
    </row>
    <row r="58">
      <c r="A58" s="21">
        <f>A57+1</f>
        <v/>
      </c>
      <c r="B58" s="22">
        <f>EDATE(Start_Date,A58-1)</f>
        <v/>
      </c>
      <c r="C58" s="23">
        <f>G57</f>
        <v/>
      </c>
      <c r="D58" s="23">
        <f>Pmt_1</f>
        <v/>
      </c>
      <c r="E58" s="23">
        <f>(C58-D58)*Rate_1/12</f>
        <v/>
      </c>
      <c r="F58" s="23">
        <f>D58-E58</f>
        <v/>
      </c>
      <c r="G58" s="23">
        <f>C58-F58</f>
        <v/>
      </c>
      <c r="H58" s="23">
        <f>IF(Lease_Class="Finance",E58+I58,$B$5)</f>
        <v/>
      </c>
      <c r="I58" s="23">
        <f>IF(Lease_Class="Finance",$B$4/Term_1,$B$5-E58)</f>
        <v/>
      </c>
      <c r="J58" s="23">
        <f>$B$4-SUM($I$9:I58)</f>
        <v/>
      </c>
    </row>
    <row r="59">
      <c r="A59" s="21">
        <f>A58+1</f>
        <v/>
      </c>
      <c r="B59" s="22">
        <f>EDATE(Start_Date,A59-1)</f>
        <v/>
      </c>
      <c r="C59" s="23">
        <f>G58</f>
        <v/>
      </c>
      <c r="D59" s="23">
        <f>Pmt_1</f>
        <v/>
      </c>
      <c r="E59" s="23">
        <f>(C59-D59)*Rate_1/12</f>
        <v/>
      </c>
      <c r="F59" s="23">
        <f>D59-E59</f>
        <v/>
      </c>
      <c r="G59" s="23">
        <f>C59-F59</f>
        <v/>
      </c>
      <c r="H59" s="23">
        <f>IF(Lease_Class="Finance",E59+I59,$B$5)</f>
        <v/>
      </c>
      <c r="I59" s="23">
        <f>IF(Lease_Class="Finance",$B$4/Term_1,$B$5-E59)</f>
        <v/>
      </c>
      <c r="J59" s="23">
        <f>$B$4-SUM($I$9:I59)</f>
        <v/>
      </c>
    </row>
    <row r="60">
      <c r="A60" s="21">
        <f>A59+1</f>
        <v/>
      </c>
      <c r="B60" s="22">
        <f>EDATE(Start_Date,A60-1)</f>
        <v/>
      </c>
      <c r="C60" s="23">
        <f>G59</f>
        <v/>
      </c>
      <c r="D60" s="23">
        <f>Pmt_1</f>
        <v/>
      </c>
      <c r="E60" s="23">
        <f>(C60-D60)*Rate_1/12</f>
        <v/>
      </c>
      <c r="F60" s="23">
        <f>D60-E60</f>
        <v/>
      </c>
      <c r="G60" s="23">
        <f>C60-F60</f>
        <v/>
      </c>
      <c r="H60" s="23">
        <f>IF(Lease_Class="Finance",E60+I60,$B$5)</f>
        <v/>
      </c>
      <c r="I60" s="23">
        <f>IF(Lease_Class="Finance",$B$4/Term_1,$B$5-E60)</f>
        <v/>
      </c>
      <c r="J60" s="23">
        <f>$B$4-SUM($I$9:I60)</f>
        <v/>
      </c>
    </row>
    <row r="61">
      <c r="A61" s="21">
        <f>A60+1</f>
        <v/>
      </c>
      <c r="B61" s="22">
        <f>EDATE(Start_Date,A61-1)</f>
        <v/>
      </c>
      <c r="C61" s="23">
        <f>G60</f>
        <v/>
      </c>
      <c r="D61" s="23">
        <f>Pmt_1</f>
        <v/>
      </c>
      <c r="E61" s="23">
        <f>(C61-D61)*Rate_1/12</f>
        <v/>
      </c>
      <c r="F61" s="23">
        <f>D61-E61</f>
        <v/>
      </c>
      <c r="G61" s="23">
        <f>C61-F61</f>
        <v/>
      </c>
      <c r="H61" s="23">
        <f>IF(Lease_Class="Finance",E61+I61,$B$5)</f>
        <v/>
      </c>
      <c r="I61" s="23">
        <f>IF(Lease_Class="Finance",$B$4/Term_1,$B$5-E61)</f>
        <v/>
      </c>
      <c r="J61" s="23">
        <f>$B$4-SUM($I$9:I61)</f>
        <v/>
      </c>
    </row>
    <row r="62">
      <c r="A62" s="21">
        <f>A61+1</f>
        <v/>
      </c>
      <c r="B62" s="22">
        <f>EDATE(Start_Date,A62-1)</f>
        <v/>
      </c>
      <c r="C62" s="23">
        <f>G61</f>
        <v/>
      </c>
      <c r="D62" s="23">
        <f>Pmt_1</f>
        <v/>
      </c>
      <c r="E62" s="23">
        <f>(C62-D62)*Rate_1/12</f>
        <v/>
      </c>
      <c r="F62" s="23">
        <f>D62-E62</f>
        <v/>
      </c>
      <c r="G62" s="23">
        <f>C62-F62</f>
        <v/>
      </c>
      <c r="H62" s="23">
        <f>IF(Lease_Class="Finance",E62+I62,$B$5)</f>
        <v/>
      </c>
      <c r="I62" s="23">
        <f>IF(Lease_Class="Finance",$B$4/Term_1,$B$5-E62)</f>
        <v/>
      </c>
      <c r="J62" s="23">
        <f>$B$4-SUM($I$9:I62)</f>
        <v/>
      </c>
    </row>
    <row r="63">
      <c r="A63" s="21">
        <f>A62+1</f>
        <v/>
      </c>
      <c r="B63" s="22">
        <f>EDATE(Start_Date,A63-1)</f>
        <v/>
      </c>
      <c r="C63" s="23">
        <f>G62</f>
        <v/>
      </c>
      <c r="D63" s="23">
        <f>Pmt_1</f>
        <v/>
      </c>
      <c r="E63" s="23">
        <f>(C63-D63)*Rate_1/12</f>
        <v/>
      </c>
      <c r="F63" s="23">
        <f>D63-E63</f>
        <v/>
      </c>
      <c r="G63" s="23">
        <f>C63-F63</f>
        <v/>
      </c>
      <c r="H63" s="23">
        <f>IF(Lease_Class="Finance",E63+I63,$B$5)</f>
        <v/>
      </c>
      <c r="I63" s="23">
        <f>IF(Lease_Class="Finance",$B$4/Term_1,$B$5-E63)</f>
        <v/>
      </c>
      <c r="J63" s="23">
        <f>$B$4-SUM($I$9:I63)</f>
        <v/>
      </c>
    </row>
    <row r="64">
      <c r="A64" s="21">
        <f>A63+1</f>
        <v/>
      </c>
      <c r="B64" s="22">
        <f>EDATE(Start_Date,A64-1)</f>
        <v/>
      </c>
      <c r="C64" s="23">
        <f>G63</f>
        <v/>
      </c>
      <c r="D64" s="23">
        <f>Pmt_1</f>
        <v/>
      </c>
      <c r="E64" s="23">
        <f>(C64-D64)*Rate_1/12</f>
        <v/>
      </c>
      <c r="F64" s="23">
        <f>D64-E64</f>
        <v/>
      </c>
      <c r="G64" s="23">
        <f>C64-F64</f>
        <v/>
      </c>
      <c r="H64" s="23">
        <f>IF(Lease_Class="Finance",E64+I64,$B$5)</f>
        <v/>
      </c>
      <c r="I64" s="23">
        <f>IF(Lease_Class="Finance",$B$4/Term_1,$B$5-E64)</f>
        <v/>
      </c>
      <c r="J64" s="23">
        <f>$B$4-SUM($I$9:I64)</f>
        <v/>
      </c>
    </row>
    <row r="65">
      <c r="A65" s="21">
        <f>A64+1</f>
        <v/>
      </c>
      <c r="B65" s="22">
        <f>EDATE(Start_Date,A65-1)</f>
        <v/>
      </c>
      <c r="C65" s="23">
        <f>G64</f>
        <v/>
      </c>
      <c r="D65" s="23">
        <f>Pmt_1</f>
        <v/>
      </c>
      <c r="E65" s="23">
        <f>(C65-D65)*Rate_1/12</f>
        <v/>
      </c>
      <c r="F65" s="23">
        <f>D65-E65</f>
        <v/>
      </c>
      <c r="G65" s="23">
        <f>C65-F65</f>
        <v/>
      </c>
      <c r="H65" s="23">
        <f>IF(Lease_Class="Finance",E65+I65,$B$5)</f>
        <v/>
      </c>
      <c r="I65" s="23">
        <f>IF(Lease_Class="Finance",$B$4/Term_1,$B$5-E65)</f>
        <v/>
      </c>
      <c r="J65" s="23">
        <f>$B$4-SUM($I$9:I65)</f>
        <v/>
      </c>
    </row>
    <row r="66">
      <c r="A66" s="21">
        <f>A65+1</f>
        <v/>
      </c>
      <c r="B66" s="22">
        <f>EDATE(Start_Date,A66-1)</f>
        <v/>
      </c>
      <c r="C66" s="23">
        <f>G65</f>
        <v/>
      </c>
      <c r="D66" s="23">
        <f>Pmt_1</f>
        <v/>
      </c>
      <c r="E66" s="23">
        <f>(C66-D66)*Rate_1/12</f>
        <v/>
      </c>
      <c r="F66" s="23">
        <f>D66-E66</f>
        <v/>
      </c>
      <c r="G66" s="23">
        <f>C66-F66</f>
        <v/>
      </c>
      <c r="H66" s="23">
        <f>IF(Lease_Class="Finance",E66+I66,$B$5)</f>
        <v/>
      </c>
      <c r="I66" s="23">
        <f>IF(Lease_Class="Finance",$B$4/Term_1,$B$5-E66)</f>
        <v/>
      </c>
      <c r="J66" s="23">
        <f>$B$4-SUM($I$9:I66)</f>
        <v/>
      </c>
    </row>
    <row r="67">
      <c r="A67" s="21">
        <f>A66+1</f>
        <v/>
      </c>
      <c r="B67" s="22">
        <f>EDATE(Start_Date,A67-1)</f>
        <v/>
      </c>
      <c r="C67" s="23">
        <f>G66</f>
        <v/>
      </c>
      <c r="D67" s="23">
        <f>Pmt_1</f>
        <v/>
      </c>
      <c r="E67" s="23">
        <f>(C67-D67)*Rate_1/12</f>
        <v/>
      </c>
      <c r="F67" s="23">
        <f>D67-E67</f>
        <v/>
      </c>
      <c r="G67" s="23">
        <f>C67-F67</f>
        <v/>
      </c>
      <c r="H67" s="23">
        <f>IF(Lease_Class="Finance",E67+I67,$B$5)</f>
        <v/>
      </c>
      <c r="I67" s="23">
        <f>IF(Lease_Class="Finance",$B$4/Term_1,$B$5-E67)</f>
        <v/>
      </c>
      <c r="J67" s="23">
        <f>$B$4-SUM($I$9:I67)</f>
        <v/>
      </c>
    </row>
    <row r="68">
      <c r="A68" s="21">
        <f>A67+1</f>
        <v/>
      </c>
      <c r="B68" s="22">
        <f>EDATE(Start_Date,A68-1)</f>
        <v/>
      </c>
      <c r="C68" s="23">
        <f>G67</f>
        <v/>
      </c>
      <c r="D68" s="23">
        <f>Pmt_1</f>
        <v/>
      </c>
      <c r="E68" s="23">
        <f>(C68-D68)*Rate_1/12</f>
        <v/>
      </c>
      <c r="F68" s="23">
        <f>D68-E68</f>
        <v/>
      </c>
      <c r="G68" s="23">
        <f>C68-F68</f>
        <v/>
      </c>
      <c r="H68" s="23">
        <f>IF(Lease_Class="Finance",E68+I68,$B$5)</f>
        <v/>
      </c>
      <c r="I68" s="23">
        <f>IF(Lease_Class="Finance",$B$4/Term_1,$B$5-E68)</f>
        <v/>
      </c>
      <c r="J68" s="23">
        <f>$B$4-SUM($I$9:I68)</f>
        <v/>
      </c>
    </row>
    <row r="70">
      <c r="C70" s="15" t="inlineStr">
        <is>
          <t>Total</t>
        </is>
      </c>
      <c r="D70" s="24">
        <f>SUM(D9:D68)</f>
        <v/>
      </c>
      <c r="E70" s="24">
        <f>SUM(E9:E68)</f>
        <v/>
      </c>
      <c r="F70" s="24">
        <f>SUM(F9:F68)</f>
        <v/>
      </c>
      <c r="H70" s="24">
        <f>SUM(H9:H68)</f>
        <v/>
      </c>
      <c r="I70" s="24">
        <f>SUM(I9:I68)</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86"/>
  <sheetViews>
    <sheetView showGridLines="0" workbookViewId="0">
      <pane ySplit="18" topLeftCell="A19" activePane="bottomLeft" state="frozen"/>
      <selection pane="bottomLeft" activeCell="A1" sqref="A1"/>
    </sheetView>
  </sheetViews>
  <sheetFormatPr baseColWidth="8" defaultRowHeight="15"/>
  <cols>
    <col width="8" customWidth="1" min="1" max="1"/>
    <col width="15" customWidth="1" min="2" max="2"/>
    <col width="17" customWidth="1" min="3" max="3"/>
    <col width="12" customWidth="1" min="4" max="4"/>
    <col width="12" customWidth="1" min="5" max="5"/>
    <col width="13" customWidth="1" min="6" max="6"/>
    <col width="17" customWidth="1" min="7" max="7"/>
    <col width="13" customWidth="1" min="8" max="8"/>
    <col width="17" customWidth="1" min="9" max="9"/>
    <col width="15" customWidth="1" min="10" max="10"/>
    <col width="90" customWidth="1" min="12" max="12"/>
  </cols>
  <sheetData>
    <row r="1">
      <c r="A1" s="5" t="inlineStr">
        <is>
          <t>After the modification — classic build</t>
        </is>
      </c>
    </row>
    <row r="3">
      <c r="B3" s="25">
        <f>DATEDIF(Start_Date,Mod_Date,"M")</f>
        <v/>
      </c>
      <c r="C3" t="inlineStr">
        <is>
          <t>Payments made before the modification</t>
        </is>
      </c>
      <c r="L3" s="3" t="inlineStr">
        <is>
          <t>DATEDIF counts whole months, so it returns 18 — the payments already made. The balance you want is the CLOSING balance of period 18, which is the liability at 1 Jul 2024 before that day's rent goes out. Read period 19 by mistake and you understate the ROU adjustment by $4,145.20.</t>
        </is>
      </c>
    </row>
    <row r="4">
      <c r="B4" s="25">
        <f>Term_1-B3</f>
        <v/>
      </c>
      <c r="C4" t="inlineStr">
        <is>
          <t>Original months still to run</t>
        </is>
      </c>
    </row>
    <row r="5">
      <c r="B5" s="25">
        <f>B4+Ext_Months</f>
        <v/>
      </c>
      <c r="C5" t="inlineStr">
        <is>
          <t>Revised remaining term (months)</t>
        </is>
      </c>
    </row>
    <row r="6">
      <c r="B6" s="19">
        <f>Mod_Test</f>
        <v/>
      </c>
      <c r="C6" t="inlineStr">
        <is>
          <t>Test 1 conclusion</t>
        </is>
      </c>
    </row>
    <row r="7">
      <c r="B7" s="19">
        <f>Lease_Class</f>
        <v/>
      </c>
      <c r="C7" t="inlineStr">
        <is>
          <t>Classification, reassessed</t>
        </is>
      </c>
    </row>
    <row r="9">
      <c r="B9" s="18">
        <f>INDEX('Classic Original'!$G$9:$G$68,B3)</f>
        <v/>
      </c>
      <c r="C9" t="inlineStr">
        <is>
          <t>Carrying liability at the modification date</t>
        </is>
      </c>
      <c r="L9" s="3" t="inlineStr">
        <is>
          <t>Both balances are measured at the same instant — immediately before the modification-date payment. Mixing a before-payment liability with an after-payment remeasurement is a $5,500 error.</t>
        </is>
      </c>
    </row>
    <row r="10">
      <c r="B10" s="18">
        <f>INDEX('Classic Original'!$J$9:$J$68,B3)</f>
        <v/>
      </c>
      <c r="C10" t="inlineStr">
        <is>
          <t>Carrying ROU asset at the modification date</t>
        </is>
      </c>
    </row>
    <row r="11">
      <c r="B11" s="18">
        <f>B10-B9</f>
        <v/>
      </c>
      <c r="C11" t="inlineStr">
        <is>
          <t>Unamortised initial direct costs inside the ROU</t>
        </is>
      </c>
    </row>
    <row r="13">
      <c r="B13" s="18">
        <f>IF(Mod_Test="Separate contract",B9,PV(Rate_2/12,B5,-Pmt_2,,1))</f>
        <v/>
      </c>
      <c r="C13" t="inlineStr">
        <is>
          <t>Remeasured lease liability</t>
        </is>
      </c>
      <c r="L13" s="3" t="inlineStr">
        <is>
          <t>The whole movement in the liability goes to the ROU asset. Nothing touches profit or loss — that is only true because scope increased. A DECREASE takes a gain or loss; see Journal Entries.</t>
        </is>
      </c>
    </row>
    <row r="14">
      <c r="B14" s="18">
        <f>B13-B9</f>
        <v/>
      </c>
      <c r="C14" t="inlineStr">
        <is>
          <t>Adjustment to the ROU asset</t>
        </is>
      </c>
    </row>
    <row r="15">
      <c r="B15" s="18">
        <f>B10+B14</f>
        <v/>
      </c>
      <c r="C15" t="inlineStr">
        <is>
          <t>ROU asset after remeasurement</t>
        </is>
      </c>
    </row>
    <row r="16">
      <c r="B16" s="18">
        <f>(B5*Pmt_2+B11)/B5</f>
        <v/>
      </c>
      <c r="C16" t="inlineStr">
        <is>
          <t>Revised straight-line lease cost per month</t>
        </is>
      </c>
      <c r="L16" s="3" t="inlineStr">
        <is>
          <t>The revised cost is $5,563.64, not the $5,500 rent. The extra $63.64 a month is what is left of the $6,000 of initial direct costs, spread over the 66 months that remain. Use $5,500 and $4,200 of costs is stranded on the balance sheet for ever.</t>
        </is>
      </c>
    </row>
    <row r="18" ht="30" customHeight="1">
      <c r="A18" s="20" t="inlineStr">
        <is>
          <t>Period</t>
        </is>
      </c>
      <c r="B18" s="20" t="inlineStr">
        <is>
          <t>Month starting</t>
        </is>
      </c>
      <c r="C18" s="20" t="inlineStr">
        <is>
          <t>Opening liability</t>
        </is>
      </c>
      <c r="D18" s="20" t="inlineStr">
        <is>
          <t>Payment</t>
        </is>
      </c>
      <c r="E18" s="20" t="inlineStr">
        <is>
          <t>Interest</t>
        </is>
      </c>
      <c r="F18" s="20" t="inlineStr">
        <is>
          <t>Principal</t>
        </is>
      </c>
      <c r="G18" s="20" t="inlineStr">
        <is>
          <t>Closing liability</t>
        </is>
      </c>
      <c r="H18" s="20" t="inlineStr">
        <is>
          <t>Lease cost</t>
        </is>
      </c>
      <c r="I18" s="20" t="inlineStr">
        <is>
          <t>ROU amortisation</t>
        </is>
      </c>
      <c r="J18" s="20" t="inlineStr">
        <is>
          <t>Closing ROU</t>
        </is>
      </c>
    </row>
    <row r="19">
      <c r="A19" s="21">
        <f>$B$3+1</f>
        <v/>
      </c>
      <c r="B19" s="22">
        <f>EDATE(Mod_Date,1-1)</f>
        <v/>
      </c>
      <c r="C19" s="23">
        <f>$B$13</f>
        <v/>
      </c>
      <c r="D19" s="23">
        <f>Pmt_2</f>
        <v/>
      </c>
      <c r="E19" s="23">
        <f>(C19-D19)*Rate_2/12</f>
        <v/>
      </c>
      <c r="F19" s="23">
        <f>D19-E19</f>
        <v/>
      </c>
      <c r="G19" s="23">
        <f>C19-F19</f>
        <v/>
      </c>
      <c r="H19" s="23">
        <f>IF(Lease_Class="Finance",E19+I19,$B$16)</f>
        <v/>
      </c>
      <c r="I19" s="23">
        <f>IF(Lease_Class="Finance",$B$15/$B$5,$B$16-E19)</f>
        <v/>
      </c>
      <c r="J19" s="23">
        <f>$B$15-SUM($I$19:I19)</f>
        <v/>
      </c>
    </row>
    <row r="20">
      <c r="A20" s="21">
        <f>A19+1</f>
        <v/>
      </c>
      <c r="B20" s="22">
        <f>EDATE(Mod_Date,2-1)</f>
        <v/>
      </c>
      <c r="C20" s="23">
        <f>G19</f>
        <v/>
      </c>
      <c r="D20" s="23">
        <f>Pmt_2</f>
        <v/>
      </c>
      <c r="E20" s="23">
        <f>(C20-D20)*Rate_2/12</f>
        <v/>
      </c>
      <c r="F20" s="23">
        <f>D20-E20</f>
        <v/>
      </c>
      <c r="G20" s="23">
        <f>C20-F20</f>
        <v/>
      </c>
      <c r="H20" s="23">
        <f>IF(Lease_Class="Finance",E20+I20,$B$16)</f>
        <v/>
      </c>
      <c r="I20" s="23">
        <f>IF(Lease_Class="Finance",$B$15/$B$5,$B$16-E20)</f>
        <v/>
      </c>
      <c r="J20" s="23">
        <f>$B$15-SUM($I$19:I20)</f>
        <v/>
      </c>
    </row>
    <row r="21">
      <c r="A21" s="21">
        <f>A20+1</f>
        <v/>
      </c>
      <c r="B21" s="22">
        <f>EDATE(Mod_Date,3-1)</f>
        <v/>
      </c>
      <c r="C21" s="23">
        <f>G20</f>
        <v/>
      </c>
      <c r="D21" s="23">
        <f>Pmt_2</f>
        <v/>
      </c>
      <c r="E21" s="23">
        <f>(C21-D21)*Rate_2/12</f>
        <v/>
      </c>
      <c r="F21" s="23">
        <f>D21-E21</f>
        <v/>
      </c>
      <c r="G21" s="23">
        <f>C21-F21</f>
        <v/>
      </c>
      <c r="H21" s="23">
        <f>IF(Lease_Class="Finance",E21+I21,$B$16)</f>
        <v/>
      </c>
      <c r="I21" s="23">
        <f>IF(Lease_Class="Finance",$B$15/$B$5,$B$16-E21)</f>
        <v/>
      </c>
      <c r="J21" s="23">
        <f>$B$15-SUM($I$19:I21)</f>
        <v/>
      </c>
    </row>
    <row r="22">
      <c r="A22" s="21">
        <f>A21+1</f>
        <v/>
      </c>
      <c r="B22" s="22">
        <f>EDATE(Mod_Date,4-1)</f>
        <v/>
      </c>
      <c r="C22" s="23">
        <f>G21</f>
        <v/>
      </c>
      <c r="D22" s="23">
        <f>Pmt_2</f>
        <v/>
      </c>
      <c r="E22" s="23">
        <f>(C22-D22)*Rate_2/12</f>
        <v/>
      </c>
      <c r="F22" s="23">
        <f>D22-E22</f>
        <v/>
      </c>
      <c r="G22" s="23">
        <f>C22-F22</f>
        <v/>
      </c>
      <c r="H22" s="23">
        <f>IF(Lease_Class="Finance",E22+I22,$B$16)</f>
        <v/>
      </c>
      <c r="I22" s="23">
        <f>IF(Lease_Class="Finance",$B$15/$B$5,$B$16-E22)</f>
        <v/>
      </c>
      <c r="J22" s="23">
        <f>$B$15-SUM($I$19:I22)</f>
        <v/>
      </c>
    </row>
    <row r="23">
      <c r="A23" s="21">
        <f>A22+1</f>
        <v/>
      </c>
      <c r="B23" s="22">
        <f>EDATE(Mod_Date,5-1)</f>
        <v/>
      </c>
      <c r="C23" s="23">
        <f>G22</f>
        <v/>
      </c>
      <c r="D23" s="23">
        <f>Pmt_2</f>
        <v/>
      </c>
      <c r="E23" s="23">
        <f>(C23-D23)*Rate_2/12</f>
        <v/>
      </c>
      <c r="F23" s="23">
        <f>D23-E23</f>
        <v/>
      </c>
      <c r="G23" s="23">
        <f>C23-F23</f>
        <v/>
      </c>
      <c r="H23" s="23">
        <f>IF(Lease_Class="Finance",E23+I23,$B$16)</f>
        <v/>
      </c>
      <c r="I23" s="23">
        <f>IF(Lease_Class="Finance",$B$15/$B$5,$B$16-E23)</f>
        <v/>
      </c>
      <c r="J23" s="23">
        <f>$B$15-SUM($I$19:I23)</f>
        <v/>
      </c>
    </row>
    <row r="24">
      <c r="A24" s="21">
        <f>A23+1</f>
        <v/>
      </c>
      <c r="B24" s="22">
        <f>EDATE(Mod_Date,6-1)</f>
        <v/>
      </c>
      <c r="C24" s="23">
        <f>G23</f>
        <v/>
      </c>
      <c r="D24" s="23">
        <f>Pmt_2</f>
        <v/>
      </c>
      <c r="E24" s="23">
        <f>(C24-D24)*Rate_2/12</f>
        <v/>
      </c>
      <c r="F24" s="23">
        <f>D24-E24</f>
        <v/>
      </c>
      <c r="G24" s="23">
        <f>C24-F24</f>
        <v/>
      </c>
      <c r="H24" s="23">
        <f>IF(Lease_Class="Finance",E24+I24,$B$16)</f>
        <v/>
      </c>
      <c r="I24" s="23">
        <f>IF(Lease_Class="Finance",$B$15/$B$5,$B$16-E24)</f>
        <v/>
      </c>
      <c r="J24" s="23">
        <f>$B$15-SUM($I$19:I24)</f>
        <v/>
      </c>
    </row>
    <row r="25">
      <c r="A25" s="21">
        <f>A24+1</f>
        <v/>
      </c>
      <c r="B25" s="22">
        <f>EDATE(Mod_Date,7-1)</f>
        <v/>
      </c>
      <c r="C25" s="23">
        <f>G24</f>
        <v/>
      </c>
      <c r="D25" s="23">
        <f>Pmt_2</f>
        <v/>
      </c>
      <c r="E25" s="23">
        <f>(C25-D25)*Rate_2/12</f>
        <v/>
      </c>
      <c r="F25" s="23">
        <f>D25-E25</f>
        <v/>
      </c>
      <c r="G25" s="23">
        <f>C25-F25</f>
        <v/>
      </c>
      <c r="H25" s="23">
        <f>IF(Lease_Class="Finance",E25+I25,$B$16)</f>
        <v/>
      </c>
      <c r="I25" s="23">
        <f>IF(Lease_Class="Finance",$B$15/$B$5,$B$16-E25)</f>
        <v/>
      </c>
      <c r="J25" s="23">
        <f>$B$15-SUM($I$19:I25)</f>
        <v/>
      </c>
    </row>
    <row r="26">
      <c r="A26" s="21">
        <f>A25+1</f>
        <v/>
      </c>
      <c r="B26" s="22">
        <f>EDATE(Mod_Date,8-1)</f>
        <v/>
      </c>
      <c r="C26" s="23">
        <f>G25</f>
        <v/>
      </c>
      <c r="D26" s="23">
        <f>Pmt_2</f>
        <v/>
      </c>
      <c r="E26" s="23">
        <f>(C26-D26)*Rate_2/12</f>
        <v/>
      </c>
      <c r="F26" s="23">
        <f>D26-E26</f>
        <v/>
      </c>
      <c r="G26" s="23">
        <f>C26-F26</f>
        <v/>
      </c>
      <c r="H26" s="23">
        <f>IF(Lease_Class="Finance",E26+I26,$B$16)</f>
        <v/>
      </c>
      <c r="I26" s="23">
        <f>IF(Lease_Class="Finance",$B$15/$B$5,$B$16-E26)</f>
        <v/>
      </c>
      <c r="J26" s="23">
        <f>$B$15-SUM($I$19:I26)</f>
        <v/>
      </c>
    </row>
    <row r="27">
      <c r="A27" s="21">
        <f>A26+1</f>
        <v/>
      </c>
      <c r="B27" s="22">
        <f>EDATE(Mod_Date,9-1)</f>
        <v/>
      </c>
      <c r="C27" s="23">
        <f>G26</f>
        <v/>
      </c>
      <c r="D27" s="23">
        <f>Pmt_2</f>
        <v/>
      </c>
      <c r="E27" s="23">
        <f>(C27-D27)*Rate_2/12</f>
        <v/>
      </c>
      <c r="F27" s="23">
        <f>D27-E27</f>
        <v/>
      </c>
      <c r="G27" s="23">
        <f>C27-F27</f>
        <v/>
      </c>
      <c r="H27" s="23">
        <f>IF(Lease_Class="Finance",E27+I27,$B$16)</f>
        <v/>
      </c>
      <c r="I27" s="23">
        <f>IF(Lease_Class="Finance",$B$15/$B$5,$B$16-E27)</f>
        <v/>
      </c>
      <c r="J27" s="23">
        <f>$B$15-SUM($I$19:I27)</f>
        <v/>
      </c>
    </row>
    <row r="28">
      <c r="A28" s="21">
        <f>A27+1</f>
        <v/>
      </c>
      <c r="B28" s="22">
        <f>EDATE(Mod_Date,10-1)</f>
        <v/>
      </c>
      <c r="C28" s="23">
        <f>G27</f>
        <v/>
      </c>
      <c r="D28" s="23">
        <f>Pmt_2</f>
        <v/>
      </c>
      <c r="E28" s="23">
        <f>(C28-D28)*Rate_2/12</f>
        <v/>
      </c>
      <c r="F28" s="23">
        <f>D28-E28</f>
        <v/>
      </c>
      <c r="G28" s="23">
        <f>C28-F28</f>
        <v/>
      </c>
      <c r="H28" s="23">
        <f>IF(Lease_Class="Finance",E28+I28,$B$16)</f>
        <v/>
      </c>
      <c r="I28" s="23">
        <f>IF(Lease_Class="Finance",$B$15/$B$5,$B$16-E28)</f>
        <v/>
      </c>
      <c r="J28" s="23">
        <f>$B$15-SUM($I$19:I28)</f>
        <v/>
      </c>
    </row>
    <row r="29">
      <c r="A29" s="21">
        <f>A28+1</f>
        <v/>
      </c>
      <c r="B29" s="22">
        <f>EDATE(Mod_Date,11-1)</f>
        <v/>
      </c>
      <c r="C29" s="23">
        <f>G28</f>
        <v/>
      </c>
      <c r="D29" s="23">
        <f>Pmt_2</f>
        <v/>
      </c>
      <c r="E29" s="23">
        <f>(C29-D29)*Rate_2/12</f>
        <v/>
      </c>
      <c r="F29" s="23">
        <f>D29-E29</f>
        <v/>
      </c>
      <c r="G29" s="23">
        <f>C29-F29</f>
        <v/>
      </c>
      <c r="H29" s="23">
        <f>IF(Lease_Class="Finance",E29+I29,$B$16)</f>
        <v/>
      </c>
      <c r="I29" s="23">
        <f>IF(Lease_Class="Finance",$B$15/$B$5,$B$16-E29)</f>
        <v/>
      </c>
      <c r="J29" s="23">
        <f>$B$15-SUM($I$19:I29)</f>
        <v/>
      </c>
    </row>
    <row r="30">
      <c r="A30" s="21">
        <f>A29+1</f>
        <v/>
      </c>
      <c r="B30" s="22">
        <f>EDATE(Mod_Date,12-1)</f>
        <v/>
      </c>
      <c r="C30" s="23">
        <f>G29</f>
        <v/>
      </c>
      <c r="D30" s="23">
        <f>Pmt_2</f>
        <v/>
      </c>
      <c r="E30" s="23">
        <f>(C30-D30)*Rate_2/12</f>
        <v/>
      </c>
      <c r="F30" s="23">
        <f>D30-E30</f>
        <v/>
      </c>
      <c r="G30" s="23">
        <f>C30-F30</f>
        <v/>
      </c>
      <c r="H30" s="23">
        <f>IF(Lease_Class="Finance",E30+I30,$B$16)</f>
        <v/>
      </c>
      <c r="I30" s="23">
        <f>IF(Lease_Class="Finance",$B$15/$B$5,$B$16-E30)</f>
        <v/>
      </c>
      <c r="J30" s="23">
        <f>$B$15-SUM($I$19:I30)</f>
        <v/>
      </c>
    </row>
    <row r="31">
      <c r="A31" s="21">
        <f>A30+1</f>
        <v/>
      </c>
      <c r="B31" s="22">
        <f>EDATE(Mod_Date,13-1)</f>
        <v/>
      </c>
      <c r="C31" s="23">
        <f>G30</f>
        <v/>
      </c>
      <c r="D31" s="23">
        <f>Pmt_2</f>
        <v/>
      </c>
      <c r="E31" s="23">
        <f>(C31-D31)*Rate_2/12</f>
        <v/>
      </c>
      <c r="F31" s="23">
        <f>D31-E31</f>
        <v/>
      </c>
      <c r="G31" s="23">
        <f>C31-F31</f>
        <v/>
      </c>
      <c r="H31" s="23">
        <f>IF(Lease_Class="Finance",E31+I31,$B$16)</f>
        <v/>
      </c>
      <c r="I31" s="23">
        <f>IF(Lease_Class="Finance",$B$15/$B$5,$B$16-E31)</f>
        <v/>
      </c>
      <c r="J31" s="23">
        <f>$B$15-SUM($I$19:I31)</f>
        <v/>
      </c>
    </row>
    <row r="32">
      <c r="A32" s="21">
        <f>A31+1</f>
        <v/>
      </c>
      <c r="B32" s="22">
        <f>EDATE(Mod_Date,14-1)</f>
        <v/>
      </c>
      <c r="C32" s="23">
        <f>G31</f>
        <v/>
      </c>
      <c r="D32" s="23">
        <f>Pmt_2</f>
        <v/>
      </c>
      <c r="E32" s="23">
        <f>(C32-D32)*Rate_2/12</f>
        <v/>
      </c>
      <c r="F32" s="23">
        <f>D32-E32</f>
        <v/>
      </c>
      <c r="G32" s="23">
        <f>C32-F32</f>
        <v/>
      </c>
      <c r="H32" s="23">
        <f>IF(Lease_Class="Finance",E32+I32,$B$16)</f>
        <v/>
      </c>
      <c r="I32" s="23">
        <f>IF(Lease_Class="Finance",$B$15/$B$5,$B$16-E32)</f>
        <v/>
      </c>
      <c r="J32" s="23">
        <f>$B$15-SUM($I$19:I32)</f>
        <v/>
      </c>
    </row>
    <row r="33">
      <c r="A33" s="21">
        <f>A32+1</f>
        <v/>
      </c>
      <c r="B33" s="22">
        <f>EDATE(Mod_Date,15-1)</f>
        <v/>
      </c>
      <c r="C33" s="23">
        <f>G32</f>
        <v/>
      </c>
      <c r="D33" s="23">
        <f>Pmt_2</f>
        <v/>
      </c>
      <c r="E33" s="23">
        <f>(C33-D33)*Rate_2/12</f>
        <v/>
      </c>
      <c r="F33" s="23">
        <f>D33-E33</f>
        <v/>
      </c>
      <c r="G33" s="23">
        <f>C33-F33</f>
        <v/>
      </c>
      <c r="H33" s="23">
        <f>IF(Lease_Class="Finance",E33+I33,$B$16)</f>
        <v/>
      </c>
      <c r="I33" s="23">
        <f>IF(Lease_Class="Finance",$B$15/$B$5,$B$16-E33)</f>
        <v/>
      </c>
      <c r="J33" s="23">
        <f>$B$15-SUM($I$19:I33)</f>
        <v/>
      </c>
    </row>
    <row r="34">
      <c r="A34" s="21">
        <f>A33+1</f>
        <v/>
      </c>
      <c r="B34" s="22">
        <f>EDATE(Mod_Date,16-1)</f>
        <v/>
      </c>
      <c r="C34" s="23">
        <f>G33</f>
        <v/>
      </c>
      <c r="D34" s="23">
        <f>Pmt_2</f>
        <v/>
      </c>
      <c r="E34" s="23">
        <f>(C34-D34)*Rate_2/12</f>
        <v/>
      </c>
      <c r="F34" s="23">
        <f>D34-E34</f>
        <v/>
      </c>
      <c r="G34" s="23">
        <f>C34-F34</f>
        <v/>
      </c>
      <c r="H34" s="23">
        <f>IF(Lease_Class="Finance",E34+I34,$B$16)</f>
        <v/>
      </c>
      <c r="I34" s="23">
        <f>IF(Lease_Class="Finance",$B$15/$B$5,$B$16-E34)</f>
        <v/>
      </c>
      <c r="J34" s="23">
        <f>$B$15-SUM($I$19:I34)</f>
        <v/>
      </c>
    </row>
    <row r="35">
      <c r="A35" s="21">
        <f>A34+1</f>
        <v/>
      </c>
      <c r="B35" s="22">
        <f>EDATE(Mod_Date,17-1)</f>
        <v/>
      </c>
      <c r="C35" s="23">
        <f>G34</f>
        <v/>
      </c>
      <c r="D35" s="23">
        <f>Pmt_2</f>
        <v/>
      </c>
      <c r="E35" s="23">
        <f>(C35-D35)*Rate_2/12</f>
        <v/>
      </c>
      <c r="F35" s="23">
        <f>D35-E35</f>
        <v/>
      </c>
      <c r="G35" s="23">
        <f>C35-F35</f>
        <v/>
      </c>
      <c r="H35" s="23">
        <f>IF(Lease_Class="Finance",E35+I35,$B$16)</f>
        <v/>
      </c>
      <c r="I35" s="23">
        <f>IF(Lease_Class="Finance",$B$15/$B$5,$B$16-E35)</f>
        <v/>
      </c>
      <c r="J35" s="23">
        <f>$B$15-SUM($I$19:I35)</f>
        <v/>
      </c>
    </row>
    <row r="36">
      <c r="A36" s="21">
        <f>A35+1</f>
        <v/>
      </c>
      <c r="B36" s="22">
        <f>EDATE(Mod_Date,18-1)</f>
        <v/>
      </c>
      <c r="C36" s="23">
        <f>G35</f>
        <v/>
      </c>
      <c r="D36" s="23">
        <f>Pmt_2</f>
        <v/>
      </c>
      <c r="E36" s="23">
        <f>(C36-D36)*Rate_2/12</f>
        <v/>
      </c>
      <c r="F36" s="23">
        <f>D36-E36</f>
        <v/>
      </c>
      <c r="G36" s="23">
        <f>C36-F36</f>
        <v/>
      </c>
      <c r="H36" s="23">
        <f>IF(Lease_Class="Finance",E36+I36,$B$16)</f>
        <v/>
      </c>
      <c r="I36" s="23">
        <f>IF(Lease_Class="Finance",$B$15/$B$5,$B$16-E36)</f>
        <v/>
      </c>
      <c r="J36" s="23">
        <f>$B$15-SUM($I$19:I36)</f>
        <v/>
      </c>
    </row>
    <row r="37">
      <c r="A37" s="21">
        <f>A36+1</f>
        <v/>
      </c>
      <c r="B37" s="22">
        <f>EDATE(Mod_Date,19-1)</f>
        <v/>
      </c>
      <c r="C37" s="23">
        <f>G36</f>
        <v/>
      </c>
      <c r="D37" s="23">
        <f>Pmt_2</f>
        <v/>
      </c>
      <c r="E37" s="23">
        <f>(C37-D37)*Rate_2/12</f>
        <v/>
      </c>
      <c r="F37" s="23">
        <f>D37-E37</f>
        <v/>
      </c>
      <c r="G37" s="23">
        <f>C37-F37</f>
        <v/>
      </c>
      <c r="H37" s="23">
        <f>IF(Lease_Class="Finance",E37+I37,$B$16)</f>
        <v/>
      </c>
      <c r="I37" s="23">
        <f>IF(Lease_Class="Finance",$B$15/$B$5,$B$16-E37)</f>
        <v/>
      </c>
      <c r="J37" s="23">
        <f>$B$15-SUM($I$19:I37)</f>
        <v/>
      </c>
    </row>
    <row r="38">
      <c r="A38" s="21">
        <f>A37+1</f>
        <v/>
      </c>
      <c r="B38" s="22">
        <f>EDATE(Mod_Date,20-1)</f>
        <v/>
      </c>
      <c r="C38" s="23">
        <f>G37</f>
        <v/>
      </c>
      <c r="D38" s="23">
        <f>Pmt_2</f>
        <v/>
      </c>
      <c r="E38" s="23">
        <f>(C38-D38)*Rate_2/12</f>
        <v/>
      </c>
      <c r="F38" s="23">
        <f>D38-E38</f>
        <v/>
      </c>
      <c r="G38" s="23">
        <f>C38-F38</f>
        <v/>
      </c>
      <c r="H38" s="23">
        <f>IF(Lease_Class="Finance",E38+I38,$B$16)</f>
        <v/>
      </c>
      <c r="I38" s="23">
        <f>IF(Lease_Class="Finance",$B$15/$B$5,$B$16-E38)</f>
        <v/>
      </c>
      <c r="J38" s="23">
        <f>$B$15-SUM($I$19:I38)</f>
        <v/>
      </c>
    </row>
    <row r="39">
      <c r="A39" s="21">
        <f>A38+1</f>
        <v/>
      </c>
      <c r="B39" s="22">
        <f>EDATE(Mod_Date,21-1)</f>
        <v/>
      </c>
      <c r="C39" s="23">
        <f>G38</f>
        <v/>
      </c>
      <c r="D39" s="23">
        <f>Pmt_2</f>
        <v/>
      </c>
      <c r="E39" s="23">
        <f>(C39-D39)*Rate_2/12</f>
        <v/>
      </c>
      <c r="F39" s="23">
        <f>D39-E39</f>
        <v/>
      </c>
      <c r="G39" s="23">
        <f>C39-F39</f>
        <v/>
      </c>
      <c r="H39" s="23">
        <f>IF(Lease_Class="Finance",E39+I39,$B$16)</f>
        <v/>
      </c>
      <c r="I39" s="23">
        <f>IF(Lease_Class="Finance",$B$15/$B$5,$B$16-E39)</f>
        <v/>
      </c>
      <c r="J39" s="23">
        <f>$B$15-SUM($I$19:I39)</f>
        <v/>
      </c>
    </row>
    <row r="40">
      <c r="A40" s="21">
        <f>A39+1</f>
        <v/>
      </c>
      <c r="B40" s="22">
        <f>EDATE(Mod_Date,22-1)</f>
        <v/>
      </c>
      <c r="C40" s="23">
        <f>G39</f>
        <v/>
      </c>
      <c r="D40" s="23">
        <f>Pmt_2</f>
        <v/>
      </c>
      <c r="E40" s="23">
        <f>(C40-D40)*Rate_2/12</f>
        <v/>
      </c>
      <c r="F40" s="23">
        <f>D40-E40</f>
        <v/>
      </c>
      <c r="G40" s="23">
        <f>C40-F40</f>
        <v/>
      </c>
      <c r="H40" s="23">
        <f>IF(Lease_Class="Finance",E40+I40,$B$16)</f>
        <v/>
      </c>
      <c r="I40" s="23">
        <f>IF(Lease_Class="Finance",$B$15/$B$5,$B$16-E40)</f>
        <v/>
      </c>
      <c r="J40" s="23">
        <f>$B$15-SUM($I$19:I40)</f>
        <v/>
      </c>
    </row>
    <row r="41">
      <c r="A41" s="21">
        <f>A40+1</f>
        <v/>
      </c>
      <c r="B41" s="22">
        <f>EDATE(Mod_Date,23-1)</f>
        <v/>
      </c>
      <c r="C41" s="23">
        <f>G40</f>
        <v/>
      </c>
      <c r="D41" s="23">
        <f>Pmt_2</f>
        <v/>
      </c>
      <c r="E41" s="23">
        <f>(C41-D41)*Rate_2/12</f>
        <v/>
      </c>
      <c r="F41" s="23">
        <f>D41-E41</f>
        <v/>
      </c>
      <c r="G41" s="23">
        <f>C41-F41</f>
        <v/>
      </c>
      <c r="H41" s="23">
        <f>IF(Lease_Class="Finance",E41+I41,$B$16)</f>
        <v/>
      </c>
      <c r="I41" s="23">
        <f>IF(Lease_Class="Finance",$B$15/$B$5,$B$16-E41)</f>
        <v/>
      </c>
      <c r="J41" s="23">
        <f>$B$15-SUM($I$19:I41)</f>
        <v/>
      </c>
    </row>
    <row r="42">
      <c r="A42" s="21">
        <f>A41+1</f>
        <v/>
      </c>
      <c r="B42" s="22">
        <f>EDATE(Mod_Date,24-1)</f>
        <v/>
      </c>
      <c r="C42" s="23">
        <f>G41</f>
        <v/>
      </c>
      <c r="D42" s="23">
        <f>Pmt_2</f>
        <v/>
      </c>
      <c r="E42" s="23">
        <f>(C42-D42)*Rate_2/12</f>
        <v/>
      </c>
      <c r="F42" s="23">
        <f>D42-E42</f>
        <v/>
      </c>
      <c r="G42" s="23">
        <f>C42-F42</f>
        <v/>
      </c>
      <c r="H42" s="23">
        <f>IF(Lease_Class="Finance",E42+I42,$B$16)</f>
        <v/>
      </c>
      <c r="I42" s="23">
        <f>IF(Lease_Class="Finance",$B$15/$B$5,$B$16-E42)</f>
        <v/>
      </c>
      <c r="J42" s="23">
        <f>$B$15-SUM($I$19:I42)</f>
        <v/>
      </c>
    </row>
    <row r="43">
      <c r="A43" s="21">
        <f>A42+1</f>
        <v/>
      </c>
      <c r="B43" s="22">
        <f>EDATE(Mod_Date,25-1)</f>
        <v/>
      </c>
      <c r="C43" s="23">
        <f>G42</f>
        <v/>
      </c>
      <c r="D43" s="23">
        <f>Pmt_2</f>
        <v/>
      </c>
      <c r="E43" s="23">
        <f>(C43-D43)*Rate_2/12</f>
        <v/>
      </c>
      <c r="F43" s="23">
        <f>D43-E43</f>
        <v/>
      </c>
      <c r="G43" s="23">
        <f>C43-F43</f>
        <v/>
      </c>
      <c r="H43" s="23">
        <f>IF(Lease_Class="Finance",E43+I43,$B$16)</f>
        <v/>
      </c>
      <c r="I43" s="23">
        <f>IF(Lease_Class="Finance",$B$15/$B$5,$B$16-E43)</f>
        <v/>
      </c>
      <c r="J43" s="23">
        <f>$B$15-SUM($I$19:I43)</f>
        <v/>
      </c>
    </row>
    <row r="44">
      <c r="A44" s="21">
        <f>A43+1</f>
        <v/>
      </c>
      <c r="B44" s="22">
        <f>EDATE(Mod_Date,26-1)</f>
        <v/>
      </c>
      <c r="C44" s="23">
        <f>G43</f>
        <v/>
      </c>
      <c r="D44" s="23">
        <f>Pmt_2</f>
        <v/>
      </c>
      <c r="E44" s="23">
        <f>(C44-D44)*Rate_2/12</f>
        <v/>
      </c>
      <c r="F44" s="23">
        <f>D44-E44</f>
        <v/>
      </c>
      <c r="G44" s="23">
        <f>C44-F44</f>
        <v/>
      </c>
      <c r="H44" s="23">
        <f>IF(Lease_Class="Finance",E44+I44,$B$16)</f>
        <v/>
      </c>
      <c r="I44" s="23">
        <f>IF(Lease_Class="Finance",$B$15/$B$5,$B$16-E44)</f>
        <v/>
      </c>
      <c r="J44" s="23">
        <f>$B$15-SUM($I$19:I44)</f>
        <v/>
      </c>
    </row>
    <row r="45">
      <c r="A45" s="21">
        <f>A44+1</f>
        <v/>
      </c>
      <c r="B45" s="22">
        <f>EDATE(Mod_Date,27-1)</f>
        <v/>
      </c>
      <c r="C45" s="23">
        <f>G44</f>
        <v/>
      </c>
      <c r="D45" s="23">
        <f>Pmt_2</f>
        <v/>
      </c>
      <c r="E45" s="23">
        <f>(C45-D45)*Rate_2/12</f>
        <v/>
      </c>
      <c r="F45" s="23">
        <f>D45-E45</f>
        <v/>
      </c>
      <c r="G45" s="23">
        <f>C45-F45</f>
        <v/>
      </c>
      <c r="H45" s="23">
        <f>IF(Lease_Class="Finance",E45+I45,$B$16)</f>
        <v/>
      </c>
      <c r="I45" s="23">
        <f>IF(Lease_Class="Finance",$B$15/$B$5,$B$16-E45)</f>
        <v/>
      </c>
      <c r="J45" s="23">
        <f>$B$15-SUM($I$19:I45)</f>
        <v/>
      </c>
    </row>
    <row r="46">
      <c r="A46" s="21">
        <f>A45+1</f>
        <v/>
      </c>
      <c r="B46" s="22">
        <f>EDATE(Mod_Date,28-1)</f>
        <v/>
      </c>
      <c r="C46" s="23">
        <f>G45</f>
        <v/>
      </c>
      <c r="D46" s="23">
        <f>Pmt_2</f>
        <v/>
      </c>
      <c r="E46" s="23">
        <f>(C46-D46)*Rate_2/12</f>
        <v/>
      </c>
      <c r="F46" s="23">
        <f>D46-E46</f>
        <v/>
      </c>
      <c r="G46" s="23">
        <f>C46-F46</f>
        <v/>
      </c>
      <c r="H46" s="23">
        <f>IF(Lease_Class="Finance",E46+I46,$B$16)</f>
        <v/>
      </c>
      <c r="I46" s="23">
        <f>IF(Lease_Class="Finance",$B$15/$B$5,$B$16-E46)</f>
        <v/>
      </c>
      <c r="J46" s="23">
        <f>$B$15-SUM($I$19:I46)</f>
        <v/>
      </c>
    </row>
    <row r="47">
      <c r="A47" s="21">
        <f>A46+1</f>
        <v/>
      </c>
      <c r="B47" s="22">
        <f>EDATE(Mod_Date,29-1)</f>
        <v/>
      </c>
      <c r="C47" s="23">
        <f>G46</f>
        <v/>
      </c>
      <c r="D47" s="23">
        <f>Pmt_2</f>
        <v/>
      </c>
      <c r="E47" s="23">
        <f>(C47-D47)*Rate_2/12</f>
        <v/>
      </c>
      <c r="F47" s="23">
        <f>D47-E47</f>
        <v/>
      </c>
      <c r="G47" s="23">
        <f>C47-F47</f>
        <v/>
      </c>
      <c r="H47" s="23">
        <f>IF(Lease_Class="Finance",E47+I47,$B$16)</f>
        <v/>
      </c>
      <c r="I47" s="23">
        <f>IF(Lease_Class="Finance",$B$15/$B$5,$B$16-E47)</f>
        <v/>
      </c>
      <c r="J47" s="23">
        <f>$B$15-SUM($I$19:I47)</f>
        <v/>
      </c>
    </row>
    <row r="48">
      <c r="A48" s="21">
        <f>A47+1</f>
        <v/>
      </c>
      <c r="B48" s="22">
        <f>EDATE(Mod_Date,30-1)</f>
        <v/>
      </c>
      <c r="C48" s="23">
        <f>G47</f>
        <v/>
      </c>
      <c r="D48" s="23">
        <f>Pmt_2</f>
        <v/>
      </c>
      <c r="E48" s="23">
        <f>(C48-D48)*Rate_2/12</f>
        <v/>
      </c>
      <c r="F48" s="23">
        <f>D48-E48</f>
        <v/>
      </c>
      <c r="G48" s="23">
        <f>C48-F48</f>
        <v/>
      </c>
      <c r="H48" s="23">
        <f>IF(Lease_Class="Finance",E48+I48,$B$16)</f>
        <v/>
      </c>
      <c r="I48" s="23">
        <f>IF(Lease_Class="Finance",$B$15/$B$5,$B$16-E48)</f>
        <v/>
      </c>
      <c r="J48" s="23">
        <f>$B$15-SUM($I$19:I48)</f>
        <v/>
      </c>
    </row>
    <row r="49">
      <c r="A49" s="21">
        <f>A48+1</f>
        <v/>
      </c>
      <c r="B49" s="22">
        <f>EDATE(Mod_Date,31-1)</f>
        <v/>
      </c>
      <c r="C49" s="23">
        <f>G48</f>
        <v/>
      </c>
      <c r="D49" s="23">
        <f>Pmt_2</f>
        <v/>
      </c>
      <c r="E49" s="23">
        <f>(C49-D49)*Rate_2/12</f>
        <v/>
      </c>
      <c r="F49" s="23">
        <f>D49-E49</f>
        <v/>
      </c>
      <c r="G49" s="23">
        <f>C49-F49</f>
        <v/>
      </c>
      <c r="H49" s="23">
        <f>IF(Lease_Class="Finance",E49+I49,$B$16)</f>
        <v/>
      </c>
      <c r="I49" s="23">
        <f>IF(Lease_Class="Finance",$B$15/$B$5,$B$16-E49)</f>
        <v/>
      </c>
      <c r="J49" s="23">
        <f>$B$15-SUM($I$19:I49)</f>
        <v/>
      </c>
    </row>
    <row r="50">
      <c r="A50" s="21">
        <f>A49+1</f>
        <v/>
      </c>
      <c r="B50" s="22">
        <f>EDATE(Mod_Date,32-1)</f>
        <v/>
      </c>
      <c r="C50" s="23">
        <f>G49</f>
        <v/>
      </c>
      <c r="D50" s="23">
        <f>Pmt_2</f>
        <v/>
      </c>
      <c r="E50" s="23">
        <f>(C50-D50)*Rate_2/12</f>
        <v/>
      </c>
      <c r="F50" s="23">
        <f>D50-E50</f>
        <v/>
      </c>
      <c r="G50" s="23">
        <f>C50-F50</f>
        <v/>
      </c>
      <c r="H50" s="23">
        <f>IF(Lease_Class="Finance",E50+I50,$B$16)</f>
        <v/>
      </c>
      <c r="I50" s="23">
        <f>IF(Lease_Class="Finance",$B$15/$B$5,$B$16-E50)</f>
        <v/>
      </c>
      <c r="J50" s="23">
        <f>$B$15-SUM($I$19:I50)</f>
        <v/>
      </c>
    </row>
    <row r="51">
      <c r="A51" s="21">
        <f>A50+1</f>
        <v/>
      </c>
      <c r="B51" s="22">
        <f>EDATE(Mod_Date,33-1)</f>
        <v/>
      </c>
      <c r="C51" s="23">
        <f>G50</f>
        <v/>
      </c>
      <c r="D51" s="23">
        <f>Pmt_2</f>
        <v/>
      </c>
      <c r="E51" s="23">
        <f>(C51-D51)*Rate_2/12</f>
        <v/>
      </c>
      <c r="F51" s="23">
        <f>D51-E51</f>
        <v/>
      </c>
      <c r="G51" s="23">
        <f>C51-F51</f>
        <v/>
      </c>
      <c r="H51" s="23">
        <f>IF(Lease_Class="Finance",E51+I51,$B$16)</f>
        <v/>
      </c>
      <c r="I51" s="23">
        <f>IF(Lease_Class="Finance",$B$15/$B$5,$B$16-E51)</f>
        <v/>
      </c>
      <c r="J51" s="23">
        <f>$B$15-SUM($I$19:I51)</f>
        <v/>
      </c>
    </row>
    <row r="52">
      <c r="A52" s="21">
        <f>A51+1</f>
        <v/>
      </c>
      <c r="B52" s="22">
        <f>EDATE(Mod_Date,34-1)</f>
        <v/>
      </c>
      <c r="C52" s="23">
        <f>G51</f>
        <v/>
      </c>
      <c r="D52" s="23">
        <f>Pmt_2</f>
        <v/>
      </c>
      <c r="E52" s="23">
        <f>(C52-D52)*Rate_2/12</f>
        <v/>
      </c>
      <c r="F52" s="23">
        <f>D52-E52</f>
        <v/>
      </c>
      <c r="G52" s="23">
        <f>C52-F52</f>
        <v/>
      </c>
      <c r="H52" s="23">
        <f>IF(Lease_Class="Finance",E52+I52,$B$16)</f>
        <v/>
      </c>
      <c r="I52" s="23">
        <f>IF(Lease_Class="Finance",$B$15/$B$5,$B$16-E52)</f>
        <v/>
      </c>
      <c r="J52" s="23">
        <f>$B$15-SUM($I$19:I52)</f>
        <v/>
      </c>
    </row>
    <row r="53">
      <c r="A53" s="21">
        <f>A52+1</f>
        <v/>
      </c>
      <c r="B53" s="22">
        <f>EDATE(Mod_Date,35-1)</f>
        <v/>
      </c>
      <c r="C53" s="23">
        <f>G52</f>
        <v/>
      </c>
      <c r="D53" s="23">
        <f>Pmt_2</f>
        <v/>
      </c>
      <c r="E53" s="23">
        <f>(C53-D53)*Rate_2/12</f>
        <v/>
      </c>
      <c r="F53" s="23">
        <f>D53-E53</f>
        <v/>
      </c>
      <c r="G53" s="23">
        <f>C53-F53</f>
        <v/>
      </c>
      <c r="H53" s="23">
        <f>IF(Lease_Class="Finance",E53+I53,$B$16)</f>
        <v/>
      </c>
      <c r="I53" s="23">
        <f>IF(Lease_Class="Finance",$B$15/$B$5,$B$16-E53)</f>
        <v/>
      </c>
      <c r="J53" s="23">
        <f>$B$15-SUM($I$19:I53)</f>
        <v/>
      </c>
    </row>
    <row r="54">
      <c r="A54" s="21">
        <f>A53+1</f>
        <v/>
      </c>
      <c r="B54" s="22">
        <f>EDATE(Mod_Date,36-1)</f>
        <v/>
      </c>
      <c r="C54" s="23">
        <f>G53</f>
        <v/>
      </c>
      <c r="D54" s="23">
        <f>Pmt_2</f>
        <v/>
      </c>
      <c r="E54" s="23">
        <f>(C54-D54)*Rate_2/12</f>
        <v/>
      </c>
      <c r="F54" s="23">
        <f>D54-E54</f>
        <v/>
      </c>
      <c r="G54" s="23">
        <f>C54-F54</f>
        <v/>
      </c>
      <c r="H54" s="23">
        <f>IF(Lease_Class="Finance",E54+I54,$B$16)</f>
        <v/>
      </c>
      <c r="I54" s="23">
        <f>IF(Lease_Class="Finance",$B$15/$B$5,$B$16-E54)</f>
        <v/>
      </c>
      <c r="J54" s="23">
        <f>$B$15-SUM($I$19:I54)</f>
        <v/>
      </c>
    </row>
    <row r="55">
      <c r="A55" s="21">
        <f>A54+1</f>
        <v/>
      </c>
      <c r="B55" s="22">
        <f>EDATE(Mod_Date,37-1)</f>
        <v/>
      </c>
      <c r="C55" s="23">
        <f>G54</f>
        <v/>
      </c>
      <c r="D55" s="23">
        <f>Pmt_2</f>
        <v/>
      </c>
      <c r="E55" s="23">
        <f>(C55-D55)*Rate_2/12</f>
        <v/>
      </c>
      <c r="F55" s="23">
        <f>D55-E55</f>
        <v/>
      </c>
      <c r="G55" s="23">
        <f>C55-F55</f>
        <v/>
      </c>
      <c r="H55" s="23">
        <f>IF(Lease_Class="Finance",E55+I55,$B$16)</f>
        <v/>
      </c>
      <c r="I55" s="23">
        <f>IF(Lease_Class="Finance",$B$15/$B$5,$B$16-E55)</f>
        <v/>
      </c>
      <c r="J55" s="23">
        <f>$B$15-SUM($I$19:I55)</f>
        <v/>
      </c>
    </row>
    <row r="56">
      <c r="A56" s="21">
        <f>A55+1</f>
        <v/>
      </c>
      <c r="B56" s="22">
        <f>EDATE(Mod_Date,38-1)</f>
        <v/>
      </c>
      <c r="C56" s="23">
        <f>G55</f>
        <v/>
      </c>
      <c r="D56" s="23">
        <f>Pmt_2</f>
        <v/>
      </c>
      <c r="E56" s="23">
        <f>(C56-D56)*Rate_2/12</f>
        <v/>
      </c>
      <c r="F56" s="23">
        <f>D56-E56</f>
        <v/>
      </c>
      <c r="G56" s="23">
        <f>C56-F56</f>
        <v/>
      </c>
      <c r="H56" s="23">
        <f>IF(Lease_Class="Finance",E56+I56,$B$16)</f>
        <v/>
      </c>
      <c r="I56" s="23">
        <f>IF(Lease_Class="Finance",$B$15/$B$5,$B$16-E56)</f>
        <v/>
      </c>
      <c r="J56" s="23">
        <f>$B$15-SUM($I$19:I56)</f>
        <v/>
      </c>
    </row>
    <row r="57">
      <c r="A57" s="21">
        <f>A56+1</f>
        <v/>
      </c>
      <c r="B57" s="22">
        <f>EDATE(Mod_Date,39-1)</f>
        <v/>
      </c>
      <c r="C57" s="23">
        <f>G56</f>
        <v/>
      </c>
      <c r="D57" s="23">
        <f>Pmt_2</f>
        <v/>
      </c>
      <c r="E57" s="23">
        <f>(C57-D57)*Rate_2/12</f>
        <v/>
      </c>
      <c r="F57" s="23">
        <f>D57-E57</f>
        <v/>
      </c>
      <c r="G57" s="23">
        <f>C57-F57</f>
        <v/>
      </c>
      <c r="H57" s="23">
        <f>IF(Lease_Class="Finance",E57+I57,$B$16)</f>
        <v/>
      </c>
      <c r="I57" s="23">
        <f>IF(Lease_Class="Finance",$B$15/$B$5,$B$16-E57)</f>
        <v/>
      </c>
      <c r="J57" s="23">
        <f>$B$15-SUM($I$19:I57)</f>
        <v/>
      </c>
    </row>
    <row r="58">
      <c r="A58" s="21">
        <f>A57+1</f>
        <v/>
      </c>
      <c r="B58" s="22">
        <f>EDATE(Mod_Date,40-1)</f>
        <v/>
      </c>
      <c r="C58" s="23">
        <f>G57</f>
        <v/>
      </c>
      <c r="D58" s="23">
        <f>Pmt_2</f>
        <v/>
      </c>
      <c r="E58" s="23">
        <f>(C58-D58)*Rate_2/12</f>
        <v/>
      </c>
      <c r="F58" s="23">
        <f>D58-E58</f>
        <v/>
      </c>
      <c r="G58" s="23">
        <f>C58-F58</f>
        <v/>
      </c>
      <c r="H58" s="23">
        <f>IF(Lease_Class="Finance",E58+I58,$B$16)</f>
        <v/>
      </c>
      <c r="I58" s="23">
        <f>IF(Lease_Class="Finance",$B$15/$B$5,$B$16-E58)</f>
        <v/>
      </c>
      <c r="J58" s="23">
        <f>$B$15-SUM($I$19:I58)</f>
        <v/>
      </c>
    </row>
    <row r="59">
      <c r="A59" s="21">
        <f>A58+1</f>
        <v/>
      </c>
      <c r="B59" s="22">
        <f>EDATE(Mod_Date,41-1)</f>
        <v/>
      </c>
      <c r="C59" s="23">
        <f>G58</f>
        <v/>
      </c>
      <c r="D59" s="23">
        <f>Pmt_2</f>
        <v/>
      </c>
      <c r="E59" s="23">
        <f>(C59-D59)*Rate_2/12</f>
        <v/>
      </c>
      <c r="F59" s="23">
        <f>D59-E59</f>
        <v/>
      </c>
      <c r="G59" s="23">
        <f>C59-F59</f>
        <v/>
      </c>
      <c r="H59" s="23">
        <f>IF(Lease_Class="Finance",E59+I59,$B$16)</f>
        <v/>
      </c>
      <c r="I59" s="23">
        <f>IF(Lease_Class="Finance",$B$15/$B$5,$B$16-E59)</f>
        <v/>
      </c>
      <c r="J59" s="23">
        <f>$B$15-SUM($I$19:I59)</f>
        <v/>
      </c>
    </row>
    <row r="60">
      <c r="A60" s="21">
        <f>A59+1</f>
        <v/>
      </c>
      <c r="B60" s="22">
        <f>EDATE(Mod_Date,42-1)</f>
        <v/>
      </c>
      <c r="C60" s="23">
        <f>G59</f>
        <v/>
      </c>
      <c r="D60" s="23">
        <f>Pmt_2</f>
        <v/>
      </c>
      <c r="E60" s="23">
        <f>(C60-D60)*Rate_2/12</f>
        <v/>
      </c>
      <c r="F60" s="23">
        <f>D60-E60</f>
        <v/>
      </c>
      <c r="G60" s="23">
        <f>C60-F60</f>
        <v/>
      </c>
      <c r="H60" s="23">
        <f>IF(Lease_Class="Finance",E60+I60,$B$16)</f>
        <v/>
      </c>
      <c r="I60" s="23">
        <f>IF(Lease_Class="Finance",$B$15/$B$5,$B$16-E60)</f>
        <v/>
      </c>
      <c r="J60" s="23">
        <f>$B$15-SUM($I$19:I60)</f>
        <v/>
      </c>
    </row>
    <row r="61">
      <c r="A61" s="21">
        <f>A60+1</f>
        <v/>
      </c>
      <c r="B61" s="22">
        <f>EDATE(Mod_Date,43-1)</f>
        <v/>
      </c>
      <c r="C61" s="23">
        <f>G60</f>
        <v/>
      </c>
      <c r="D61" s="23">
        <f>Pmt_2</f>
        <v/>
      </c>
      <c r="E61" s="23">
        <f>(C61-D61)*Rate_2/12</f>
        <v/>
      </c>
      <c r="F61" s="23">
        <f>D61-E61</f>
        <v/>
      </c>
      <c r="G61" s="23">
        <f>C61-F61</f>
        <v/>
      </c>
      <c r="H61" s="23">
        <f>IF(Lease_Class="Finance",E61+I61,$B$16)</f>
        <v/>
      </c>
      <c r="I61" s="23">
        <f>IF(Lease_Class="Finance",$B$15/$B$5,$B$16-E61)</f>
        <v/>
      </c>
      <c r="J61" s="23">
        <f>$B$15-SUM($I$19:I61)</f>
        <v/>
      </c>
    </row>
    <row r="62">
      <c r="A62" s="21">
        <f>A61+1</f>
        <v/>
      </c>
      <c r="B62" s="22">
        <f>EDATE(Mod_Date,44-1)</f>
        <v/>
      </c>
      <c r="C62" s="23">
        <f>G61</f>
        <v/>
      </c>
      <c r="D62" s="23">
        <f>Pmt_2</f>
        <v/>
      </c>
      <c r="E62" s="23">
        <f>(C62-D62)*Rate_2/12</f>
        <v/>
      </c>
      <c r="F62" s="23">
        <f>D62-E62</f>
        <v/>
      </c>
      <c r="G62" s="23">
        <f>C62-F62</f>
        <v/>
      </c>
      <c r="H62" s="23">
        <f>IF(Lease_Class="Finance",E62+I62,$B$16)</f>
        <v/>
      </c>
      <c r="I62" s="23">
        <f>IF(Lease_Class="Finance",$B$15/$B$5,$B$16-E62)</f>
        <v/>
      </c>
      <c r="J62" s="23">
        <f>$B$15-SUM($I$19:I62)</f>
        <v/>
      </c>
    </row>
    <row r="63">
      <c r="A63" s="21">
        <f>A62+1</f>
        <v/>
      </c>
      <c r="B63" s="22">
        <f>EDATE(Mod_Date,45-1)</f>
        <v/>
      </c>
      <c r="C63" s="23">
        <f>G62</f>
        <v/>
      </c>
      <c r="D63" s="23">
        <f>Pmt_2</f>
        <v/>
      </c>
      <c r="E63" s="23">
        <f>(C63-D63)*Rate_2/12</f>
        <v/>
      </c>
      <c r="F63" s="23">
        <f>D63-E63</f>
        <v/>
      </c>
      <c r="G63" s="23">
        <f>C63-F63</f>
        <v/>
      </c>
      <c r="H63" s="23">
        <f>IF(Lease_Class="Finance",E63+I63,$B$16)</f>
        <v/>
      </c>
      <c r="I63" s="23">
        <f>IF(Lease_Class="Finance",$B$15/$B$5,$B$16-E63)</f>
        <v/>
      </c>
      <c r="J63" s="23">
        <f>$B$15-SUM($I$19:I63)</f>
        <v/>
      </c>
    </row>
    <row r="64">
      <c r="A64" s="21">
        <f>A63+1</f>
        <v/>
      </c>
      <c r="B64" s="22">
        <f>EDATE(Mod_Date,46-1)</f>
        <v/>
      </c>
      <c r="C64" s="23">
        <f>G63</f>
        <v/>
      </c>
      <c r="D64" s="23">
        <f>Pmt_2</f>
        <v/>
      </c>
      <c r="E64" s="23">
        <f>(C64-D64)*Rate_2/12</f>
        <v/>
      </c>
      <c r="F64" s="23">
        <f>D64-E64</f>
        <v/>
      </c>
      <c r="G64" s="23">
        <f>C64-F64</f>
        <v/>
      </c>
      <c r="H64" s="23">
        <f>IF(Lease_Class="Finance",E64+I64,$B$16)</f>
        <v/>
      </c>
      <c r="I64" s="23">
        <f>IF(Lease_Class="Finance",$B$15/$B$5,$B$16-E64)</f>
        <v/>
      </c>
      <c r="J64" s="23">
        <f>$B$15-SUM($I$19:I64)</f>
        <v/>
      </c>
    </row>
    <row r="65">
      <c r="A65" s="21">
        <f>A64+1</f>
        <v/>
      </c>
      <c r="B65" s="22">
        <f>EDATE(Mod_Date,47-1)</f>
        <v/>
      </c>
      <c r="C65" s="23">
        <f>G64</f>
        <v/>
      </c>
      <c r="D65" s="23">
        <f>Pmt_2</f>
        <v/>
      </c>
      <c r="E65" s="23">
        <f>(C65-D65)*Rate_2/12</f>
        <v/>
      </c>
      <c r="F65" s="23">
        <f>D65-E65</f>
        <v/>
      </c>
      <c r="G65" s="23">
        <f>C65-F65</f>
        <v/>
      </c>
      <c r="H65" s="23">
        <f>IF(Lease_Class="Finance",E65+I65,$B$16)</f>
        <v/>
      </c>
      <c r="I65" s="23">
        <f>IF(Lease_Class="Finance",$B$15/$B$5,$B$16-E65)</f>
        <v/>
      </c>
      <c r="J65" s="23">
        <f>$B$15-SUM($I$19:I65)</f>
        <v/>
      </c>
    </row>
    <row r="66">
      <c r="A66" s="21">
        <f>A65+1</f>
        <v/>
      </c>
      <c r="B66" s="22">
        <f>EDATE(Mod_Date,48-1)</f>
        <v/>
      </c>
      <c r="C66" s="23">
        <f>G65</f>
        <v/>
      </c>
      <c r="D66" s="23">
        <f>Pmt_2</f>
        <v/>
      </c>
      <c r="E66" s="23">
        <f>(C66-D66)*Rate_2/12</f>
        <v/>
      </c>
      <c r="F66" s="23">
        <f>D66-E66</f>
        <v/>
      </c>
      <c r="G66" s="23">
        <f>C66-F66</f>
        <v/>
      </c>
      <c r="H66" s="23">
        <f>IF(Lease_Class="Finance",E66+I66,$B$16)</f>
        <v/>
      </c>
      <c r="I66" s="23">
        <f>IF(Lease_Class="Finance",$B$15/$B$5,$B$16-E66)</f>
        <v/>
      </c>
      <c r="J66" s="23">
        <f>$B$15-SUM($I$19:I66)</f>
        <v/>
      </c>
    </row>
    <row r="67">
      <c r="A67" s="21">
        <f>A66+1</f>
        <v/>
      </c>
      <c r="B67" s="22">
        <f>EDATE(Mod_Date,49-1)</f>
        <v/>
      </c>
      <c r="C67" s="23">
        <f>G66</f>
        <v/>
      </c>
      <c r="D67" s="23">
        <f>Pmt_2</f>
        <v/>
      </c>
      <c r="E67" s="23">
        <f>(C67-D67)*Rate_2/12</f>
        <v/>
      </c>
      <c r="F67" s="23">
        <f>D67-E67</f>
        <v/>
      </c>
      <c r="G67" s="23">
        <f>C67-F67</f>
        <v/>
      </c>
      <c r="H67" s="23">
        <f>IF(Lease_Class="Finance",E67+I67,$B$16)</f>
        <v/>
      </c>
      <c r="I67" s="23">
        <f>IF(Lease_Class="Finance",$B$15/$B$5,$B$16-E67)</f>
        <v/>
      </c>
      <c r="J67" s="23">
        <f>$B$15-SUM($I$19:I67)</f>
        <v/>
      </c>
    </row>
    <row r="68">
      <c r="A68" s="21">
        <f>A67+1</f>
        <v/>
      </c>
      <c r="B68" s="22">
        <f>EDATE(Mod_Date,50-1)</f>
        <v/>
      </c>
      <c r="C68" s="23">
        <f>G67</f>
        <v/>
      </c>
      <c r="D68" s="23">
        <f>Pmt_2</f>
        <v/>
      </c>
      <c r="E68" s="23">
        <f>(C68-D68)*Rate_2/12</f>
        <v/>
      </c>
      <c r="F68" s="23">
        <f>D68-E68</f>
        <v/>
      </c>
      <c r="G68" s="23">
        <f>C68-F68</f>
        <v/>
      </c>
      <c r="H68" s="23">
        <f>IF(Lease_Class="Finance",E68+I68,$B$16)</f>
        <v/>
      </c>
      <c r="I68" s="23">
        <f>IF(Lease_Class="Finance",$B$15/$B$5,$B$16-E68)</f>
        <v/>
      </c>
      <c r="J68" s="23">
        <f>$B$15-SUM($I$19:I68)</f>
        <v/>
      </c>
    </row>
    <row r="69">
      <c r="A69" s="21">
        <f>A68+1</f>
        <v/>
      </c>
      <c r="B69" s="22">
        <f>EDATE(Mod_Date,51-1)</f>
        <v/>
      </c>
      <c r="C69" s="23">
        <f>G68</f>
        <v/>
      </c>
      <c r="D69" s="23">
        <f>Pmt_2</f>
        <v/>
      </c>
      <c r="E69" s="23">
        <f>(C69-D69)*Rate_2/12</f>
        <v/>
      </c>
      <c r="F69" s="23">
        <f>D69-E69</f>
        <v/>
      </c>
      <c r="G69" s="23">
        <f>C69-F69</f>
        <v/>
      </c>
      <c r="H69" s="23">
        <f>IF(Lease_Class="Finance",E69+I69,$B$16)</f>
        <v/>
      </c>
      <c r="I69" s="23">
        <f>IF(Lease_Class="Finance",$B$15/$B$5,$B$16-E69)</f>
        <v/>
      </c>
      <c r="J69" s="23">
        <f>$B$15-SUM($I$19:I69)</f>
        <v/>
      </c>
    </row>
    <row r="70">
      <c r="A70" s="21">
        <f>A69+1</f>
        <v/>
      </c>
      <c r="B70" s="22">
        <f>EDATE(Mod_Date,52-1)</f>
        <v/>
      </c>
      <c r="C70" s="23">
        <f>G69</f>
        <v/>
      </c>
      <c r="D70" s="23">
        <f>Pmt_2</f>
        <v/>
      </c>
      <c r="E70" s="23">
        <f>(C70-D70)*Rate_2/12</f>
        <v/>
      </c>
      <c r="F70" s="23">
        <f>D70-E70</f>
        <v/>
      </c>
      <c r="G70" s="23">
        <f>C70-F70</f>
        <v/>
      </c>
      <c r="H70" s="23">
        <f>IF(Lease_Class="Finance",E70+I70,$B$16)</f>
        <v/>
      </c>
      <c r="I70" s="23">
        <f>IF(Lease_Class="Finance",$B$15/$B$5,$B$16-E70)</f>
        <v/>
      </c>
      <c r="J70" s="23">
        <f>$B$15-SUM($I$19:I70)</f>
        <v/>
      </c>
    </row>
    <row r="71">
      <c r="A71" s="21">
        <f>A70+1</f>
        <v/>
      </c>
      <c r="B71" s="22">
        <f>EDATE(Mod_Date,53-1)</f>
        <v/>
      </c>
      <c r="C71" s="23">
        <f>G70</f>
        <v/>
      </c>
      <c r="D71" s="23">
        <f>Pmt_2</f>
        <v/>
      </c>
      <c r="E71" s="23">
        <f>(C71-D71)*Rate_2/12</f>
        <v/>
      </c>
      <c r="F71" s="23">
        <f>D71-E71</f>
        <v/>
      </c>
      <c r="G71" s="23">
        <f>C71-F71</f>
        <v/>
      </c>
      <c r="H71" s="23">
        <f>IF(Lease_Class="Finance",E71+I71,$B$16)</f>
        <v/>
      </c>
      <c r="I71" s="23">
        <f>IF(Lease_Class="Finance",$B$15/$B$5,$B$16-E71)</f>
        <v/>
      </c>
      <c r="J71" s="23">
        <f>$B$15-SUM($I$19:I71)</f>
        <v/>
      </c>
    </row>
    <row r="72">
      <c r="A72" s="21">
        <f>A71+1</f>
        <v/>
      </c>
      <c r="B72" s="22">
        <f>EDATE(Mod_Date,54-1)</f>
        <v/>
      </c>
      <c r="C72" s="23">
        <f>G71</f>
        <v/>
      </c>
      <c r="D72" s="23">
        <f>Pmt_2</f>
        <v/>
      </c>
      <c r="E72" s="23">
        <f>(C72-D72)*Rate_2/12</f>
        <v/>
      </c>
      <c r="F72" s="23">
        <f>D72-E72</f>
        <v/>
      </c>
      <c r="G72" s="23">
        <f>C72-F72</f>
        <v/>
      </c>
      <c r="H72" s="23">
        <f>IF(Lease_Class="Finance",E72+I72,$B$16)</f>
        <v/>
      </c>
      <c r="I72" s="23">
        <f>IF(Lease_Class="Finance",$B$15/$B$5,$B$16-E72)</f>
        <v/>
      </c>
      <c r="J72" s="23">
        <f>$B$15-SUM($I$19:I72)</f>
        <v/>
      </c>
    </row>
    <row r="73">
      <c r="A73" s="21">
        <f>A72+1</f>
        <v/>
      </c>
      <c r="B73" s="22">
        <f>EDATE(Mod_Date,55-1)</f>
        <v/>
      </c>
      <c r="C73" s="23">
        <f>G72</f>
        <v/>
      </c>
      <c r="D73" s="23">
        <f>Pmt_2</f>
        <v/>
      </c>
      <c r="E73" s="23">
        <f>(C73-D73)*Rate_2/12</f>
        <v/>
      </c>
      <c r="F73" s="23">
        <f>D73-E73</f>
        <v/>
      </c>
      <c r="G73" s="23">
        <f>C73-F73</f>
        <v/>
      </c>
      <c r="H73" s="23">
        <f>IF(Lease_Class="Finance",E73+I73,$B$16)</f>
        <v/>
      </c>
      <c r="I73" s="23">
        <f>IF(Lease_Class="Finance",$B$15/$B$5,$B$16-E73)</f>
        <v/>
      </c>
      <c r="J73" s="23">
        <f>$B$15-SUM($I$19:I73)</f>
        <v/>
      </c>
    </row>
    <row r="74">
      <c r="A74" s="21">
        <f>A73+1</f>
        <v/>
      </c>
      <c r="B74" s="22">
        <f>EDATE(Mod_Date,56-1)</f>
        <v/>
      </c>
      <c r="C74" s="23">
        <f>G73</f>
        <v/>
      </c>
      <c r="D74" s="23">
        <f>Pmt_2</f>
        <v/>
      </c>
      <c r="E74" s="23">
        <f>(C74-D74)*Rate_2/12</f>
        <v/>
      </c>
      <c r="F74" s="23">
        <f>D74-E74</f>
        <v/>
      </c>
      <c r="G74" s="23">
        <f>C74-F74</f>
        <v/>
      </c>
      <c r="H74" s="23">
        <f>IF(Lease_Class="Finance",E74+I74,$B$16)</f>
        <v/>
      </c>
      <c r="I74" s="23">
        <f>IF(Lease_Class="Finance",$B$15/$B$5,$B$16-E74)</f>
        <v/>
      </c>
      <c r="J74" s="23">
        <f>$B$15-SUM($I$19:I74)</f>
        <v/>
      </c>
    </row>
    <row r="75">
      <c r="A75" s="21">
        <f>A74+1</f>
        <v/>
      </c>
      <c r="B75" s="22">
        <f>EDATE(Mod_Date,57-1)</f>
        <v/>
      </c>
      <c r="C75" s="23">
        <f>G74</f>
        <v/>
      </c>
      <c r="D75" s="23">
        <f>Pmt_2</f>
        <v/>
      </c>
      <c r="E75" s="23">
        <f>(C75-D75)*Rate_2/12</f>
        <v/>
      </c>
      <c r="F75" s="23">
        <f>D75-E75</f>
        <v/>
      </c>
      <c r="G75" s="23">
        <f>C75-F75</f>
        <v/>
      </c>
      <c r="H75" s="23">
        <f>IF(Lease_Class="Finance",E75+I75,$B$16)</f>
        <v/>
      </c>
      <c r="I75" s="23">
        <f>IF(Lease_Class="Finance",$B$15/$B$5,$B$16-E75)</f>
        <v/>
      </c>
      <c r="J75" s="23">
        <f>$B$15-SUM($I$19:I75)</f>
        <v/>
      </c>
    </row>
    <row r="76">
      <c r="A76" s="21">
        <f>A75+1</f>
        <v/>
      </c>
      <c r="B76" s="22">
        <f>EDATE(Mod_Date,58-1)</f>
        <v/>
      </c>
      <c r="C76" s="23">
        <f>G75</f>
        <v/>
      </c>
      <c r="D76" s="23">
        <f>Pmt_2</f>
        <v/>
      </c>
      <c r="E76" s="23">
        <f>(C76-D76)*Rate_2/12</f>
        <v/>
      </c>
      <c r="F76" s="23">
        <f>D76-E76</f>
        <v/>
      </c>
      <c r="G76" s="23">
        <f>C76-F76</f>
        <v/>
      </c>
      <c r="H76" s="23">
        <f>IF(Lease_Class="Finance",E76+I76,$B$16)</f>
        <v/>
      </c>
      <c r="I76" s="23">
        <f>IF(Lease_Class="Finance",$B$15/$B$5,$B$16-E76)</f>
        <v/>
      </c>
      <c r="J76" s="23">
        <f>$B$15-SUM($I$19:I76)</f>
        <v/>
      </c>
    </row>
    <row r="77">
      <c r="A77" s="21">
        <f>A76+1</f>
        <v/>
      </c>
      <c r="B77" s="22">
        <f>EDATE(Mod_Date,59-1)</f>
        <v/>
      </c>
      <c r="C77" s="23">
        <f>G76</f>
        <v/>
      </c>
      <c r="D77" s="23">
        <f>Pmt_2</f>
        <v/>
      </c>
      <c r="E77" s="23">
        <f>(C77-D77)*Rate_2/12</f>
        <v/>
      </c>
      <c r="F77" s="23">
        <f>D77-E77</f>
        <v/>
      </c>
      <c r="G77" s="23">
        <f>C77-F77</f>
        <v/>
      </c>
      <c r="H77" s="23">
        <f>IF(Lease_Class="Finance",E77+I77,$B$16)</f>
        <v/>
      </c>
      <c r="I77" s="23">
        <f>IF(Lease_Class="Finance",$B$15/$B$5,$B$16-E77)</f>
        <v/>
      </c>
      <c r="J77" s="23">
        <f>$B$15-SUM($I$19:I77)</f>
        <v/>
      </c>
    </row>
    <row r="78">
      <c r="A78" s="21">
        <f>A77+1</f>
        <v/>
      </c>
      <c r="B78" s="22">
        <f>EDATE(Mod_Date,60-1)</f>
        <v/>
      </c>
      <c r="C78" s="23">
        <f>G77</f>
        <v/>
      </c>
      <c r="D78" s="23">
        <f>Pmt_2</f>
        <v/>
      </c>
      <c r="E78" s="23">
        <f>(C78-D78)*Rate_2/12</f>
        <v/>
      </c>
      <c r="F78" s="23">
        <f>D78-E78</f>
        <v/>
      </c>
      <c r="G78" s="23">
        <f>C78-F78</f>
        <v/>
      </c>
      <c r="H78" s="23">
        <f>IF(Lease_Class="Finance",E78+I78,$B$16)</f>
        <v/>
      </c>
      <c r="I78" s="23">
        <f>IF(Lease_Class="Finance",$B$15/$B$5,$B$16-E78)</f>
        <v/>
      </c>
      <c r="J78" s="23">
        <f>$B$15-SUM($I$19:I78)</f>
        <v/>
      </c>
    </row>
    <row r="79">
      <c r="A79" s="21">
        <f>A78+1</f>
        <v/>
      </c>
      <c r="B79" s="22">
        <f>EDATE(Mod_Date,61-1)</f>
        <v/>
      </c>
      <c r="C79" s="23">
        <f>G78</f>
        <v/>
      </c>
      <c r="D79" s="23">
        <f>Pmt_2</f>
        <v/>
      </c>
      <c r="E79" s="23">
        <f>(C79-D79)*Rate_2/12</f>
        <v/>
      </c>
      <c r="F79" s="23">
        <f>D79-E79</f>
        <v/>
      </c>
      <c r="G79" s="23">
        <f>C79-F79</f>
        <v/>
      </c>
      <c r="H79" s="23">
        <f>IF(Lease_Class="Finance",E79+I79,$B$16)</f>
        <v/>
      </c>
      <c r="I79" s="23">
        <f>IF(Lease_Class="Finance",$B$15/$B$5,$B$16-E79)</f>
        <v/>
      </c>
      <c r="J79" s="23">
        <f>$B$15-SUM($I$19:I79)</f>
        <v/>
      </c>
    </row>
    <row r="80">
      <c r="A80" s="21">
        <f>A79+1</f>
        <v/>
      </c>
      <c r="B80" s="22">
        <f>EDATE(Mod_Date,62-1)</f>
        <v/>
      </c>
      <c r="C80" s="23">
        <f>G79</f>
        <v/>
      </c>
      <c r="D80" s="23">
        <f>Pmt_2</f>
        <v/>
      </c>
      <c r="E80" s="23">
        <f>(C80-D80)*Rate_2/12</f>
        <v/>
      </c>
      <c r="F80" s="23">
        <f>D80-E80</f>
        <v/>
      </c>
      <c r="G80" s="23">
        <f>C80-F80</f>
        <v/>
      </c>
      <c r="H80" s="23">
        <f>IF(Lease_Class="Finance",E80+I80,$B$16)</f>
        <v/>
      </c>
      <c r="I80" s="23">
        <f>IF(Lease_Class="Finance",$B$15/$B$5,$B$16-E80)</f>
        <v/>
      </c>
      <c r="J80" s="23">
        <f>$B$15-SUM($I$19:I80)</f>
        <v/>
      </c>
    </row>
    <row r="81">
      <c r="A81" s="21">
        <f>A80+1</f>
        <v/>
      </c>
      <c r="B81" s="22">
        <f>EDATE(Mod_Date,63-1)</f>
        <v/>
      </c>
      <c r="C81" s="23">
        <f>G80</f>
        <v/>
      </c>
      <c r="D81" s="23">
        <f>Pmt_2</f>
        <v/>
      </c>
      <c r="E81" s="23">
        <f>(C81-D81)*Rate_2/12</f>
        <v/>
      </c>
      <c r="F81" s="23">
        <f>D81-E81</f>
        <v/>
      </c>
      <c r="G81" s="23">
        <f>C81-F81</f>
        <v/>
      </c>
      <c r="H81" s="23">
        <f>IF(Lease_Class="Finance",E81+I81,$B$16)</f>
        <v/>
      </c>
      <c r="I81" s="23">
        <f>IF(Lease_Class="Finance",$B$15/$B$5,$B$16-E81)</f>
        <v/>
      </c>
      <c r="J81" s="23">
        <f>$B$15-SUM($I$19:I81)</f>
        <v/>
      </c>
    </row>
    <row r="82">
      <c r="A82" s="21">
        <f>A81+1</f>
        <v/>
      </c>
      <c r="B82" s="22">
        <f>EDATE(Mod_Date,64-1)</f>
        <v/>
      </c>
      <c r="C82" s="23">
        <f>G81</f>
        <v/>
      </c>
      <c r="D82" s="23">
        <f>Pmt_2</f>
        <v/>
      </c>
      <c r="E82" s="23">
        <f>(C82-D82)*Rate_2/12</f>
        <v/>
      </c>
      <c r="F82" s="23">
        <f>D82-E82</f>
        <v/>
      </c>
      <c r="G82" s="23">
        <f>C82-F82</f>
        <v/>
      </c>
      <c r="H82" s="23">
        <f>IF(Lease_Class="Finance",E82+I82,$B$16)</f>
        <v/>
      </c>
      <c r="I82" s="23">
        <f>IF(Lease_Class="Finance",$B$15/$B$5,$B$16-E82)</f>
        <v/>
      </c>
      <c r="J82" s="23">
        <f>$B$15-SUM($I$19:I82)</f>
        <v/>
      </c>
    </row>
    <row r="83">
      <c r="A83" s="21">
        <f>A82+1</f>
        <v/>
      </c>
      <c r="B83" s="22">
        <f>EDATE(Mod_Date,65-1)</f>
        <v/>
      </c>
      <c r="C83" s="23">
        <f>G82</f>
        <v/>
      </c>
      <c r="D83" s="23">
        <f>Pmt_2</f>
        <v/>
      </c>
      <c r="E83" s="23">
        <f>(C83-D83)*Rate_2/12</f>
        <v/>
      </c>
      <c r="F83" s="23">
        <f>D83-E83</f>
        <v/>
      </c>
      <c r="G83" s="23">
        <f>C83-F83</f>
        <v/>
      </c>
      <c r="H83" s="23">
        <f>IF(Lease_Class="Finance",E83+I83,$B$16)</f>
        <v/>
      </c>
      <c r="I83" s="23">
        <f>IF(Lease_Class="Finance",$B$15/$B$5,$B$16-E83)</f>
        <v/>
      </c>
      <c r="J83" s="23">
        <f>$B$15-SUM($I$19:I83)</f>
        <v/>
      </c>
    </row>
    <row r="84">
      <c r="A84" s="21">
        <f>A83+1</f>
        <v/>
      </c>
      <c r="B84" s="22">
        <f>EDATE(Mod_Date,66-1)</f>
        <v/>
      </c>
      <c r="C84" s="23">
        <f>G83</f>
        <v/>
      </c>
      <c r="D84" s="23">
        <f>Pmt_2</f>
        <v/>
      </c>
      <c r="E84" s="23">
        <f>(C84-D84)*Rate_2/12</f>
        <v/>
      </c>
      <c r="F84" s="23">
        <f>D84-E84</f>
        <v/>
      </c>
      <c r="G84" s="23">
        <f>C84-F84</f>
        <v/>
      </c>
      <c r="H84" s="23">
        <f>IF(Lease_Class="Finance",E84+I84,$B$16)</f>
        <v/>
      </c>
      <c r="I84" s="23">
        <f>IF(Lease_Class="Finance",$B$15/$B$5,$B$16-E84)</f>
        <v/>
      </c>
      <c r="J84" s="23">
        <f>$B$15-SUM($I$19:I84)</f>
        <v/>
      </c>
    </row>
    <row r="86">
      <c r="C86" s="15" t="inlineStr">
        <is>
          <t>Total</t>
        </is>
      </c>
      <c r="D86" s="24">
        <f>SUM(D19:D84)</f>
        <v/>
      </c>
      <c r="E86" s="24">
        <f>SUM(E19:E84)</f>
        <v/>
      </c>
      <c r="F86" s="24">
        <f>SUM(F19:F84)</f>
        <v/>
      </c>
      <c r="H86" s="24">
        <f>SUM(H19:H84)</f>
        <v/>
      </c>
      <c r="I86" s="24">
        <f>SUM(I19:I84)</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8"/>
  <sheetViews>
    <sheetView showGridLines="0" workbookViewId="0">
      <pane ySplit="8" topLeftCell="A9" activePane="bottomLeft" state="frozen"/>
      <selection pane="bottomLeft" activeCell="A1" sqref="A1"/>
    </sheetView>
  </sheetViews>
  <sheetFormatPr baseColWidth="8" defaultRowHeight="15"/>
  <cols>
    <col width="8" customWidth="1" min="1" max="1"/>
    <col width="15" customWidth="1" min="2" max="2"/>
    <col width="17" customWidth="1" min="3" max="3"/>
    <col width="12" customWidth="1" min="4" max="4"/>
    <col width="12" customWidth="1" min="5" max="5"/>
    <col width="13" customWidth="1" min="6" max="6"/>
    <col width="17" customWidth="1" min="7" max="7"/>
    <col width="13" customWidth="1" min="8" max="8"/>
    <col width="17" customWidth="1" min="9" max="9"/>
    <col width="15" customWidth="1" min="10" max="10"/>
    <col width="90" customWidth="1" min="12" max="12"/>
  </cols>
  <sheetData>
    <row r="1">
      <c r="A1" s="5" t="inlineStr">
        <is>
          <t>The original lease — Excel 365 build</t>
        </is>
      </c>
    </row>
    <row r="3">
      <c r="B3" s="26">
        <f>PV(Rate_1/12,Term_1,-Pmt_1,,1)</f>
        <v/>
      </c>
      <c r="C3" t="inlineStr">
        <is>
          <t>Lease liability at commencement</t>
        </is>
      </c>
      <c r="L3" s="3" t="inlineStr">
        <is>
          <t>Three formulas build sixty rows: SEQUENCE in A9, EDATE over that sequence in B9, and the LET in C9 that spills eight money columns across to J.</t>
        </is>
      </c>
    </row>
    <row r="4">
      <c r="B4" s="26">
        <f>B3+IDC-Incentive</f>
        <v/>
      </c>
      <c r="C4" t="inlineStr">
        <is>
          <t>ROU asset at commencement</t>
        </is>
      </c>
    </row>
    <row r="5">
      <c r="B5" s="26">
        <f>(Term_1*Pmt_1+IDC-Incentive)/Term_1</f>
        <v/>
      </c>
      <c r="C5" t="inlineStr">
        <is>
          <t>Straight-line lease cost per month</t>
        </is>
      </c>
    </row>
    <row r="6">
      <c r="B6" s="19">
        <f>Lease_Class</f>
        <v/>
      </c>
      <c r="C6" t="inlineStr">
        <is>
          <t>Lease classification</t>
        </is>
      </c>
      <c r="L6" s="3" t="inlineStr">
        <is>
          <t>SCAN carries the balance forward one period at a time — exactly what a copy-down column does, with no cell references to break. VSTACK + DROP shift the closing column down one row to make the opening column.</t>
        </is>
      </c>
    </row>
    <row r="8" ht="30" customHeight="1">
      <c r="A8" s="20" t="inlineStr">
        <is>
          <t>Period</t>
        </is>
      </c>
      <c r="B8" s="20" t="inlineStr">
        <is>
          <t>Month starting</t>
        </is>
      </c>
      <c r="C8" s="20" t="inlineStr">
        <is>
          <t>Opening liability</t>
        </is>
      </c>
      <c r="D8" s="20" t="inlineStr">
        <is>
          <t>Payment</t>
        </is>
      </c>
      <c r="E8" s="20" t="inlineStr">
        <is>
          <t>Interest</t>
        </is>
      </c>
      <c r="F8" s="20" t="inlineStr">
        <is>
          <t>Principal</t>
        </is>
      </c>
      <c r="G8" s="20" t="inlineStr">
        <is>
          <t>Closing liability</t>
        </is>
      </c>
      <c r="H8" s="20" t="inlineStr">
        <is>
          <t>Lease cost</t>
        </is>
      </c>
      <c r="I8" s="20" t="inlineStr">
        <is>
          <t>ROU amortisation</t>
        </is>
      </c>
      <c r="J8" s="20" t="inlineStr">
        <is>
          <t>Closing ROU</t>
        </is>
      </c>
    </row>
    <row r="9">
      <c r="A9" s="27" cm="1">
        <f t="array" ref="A9:A68">_xlfn.SEQUENCE(Term_1)</f>
        <v>0</v>
      </c>
      <c r="B9" s="28" cm="1">
        <f t="array" ref="B9:B68">EDATE(Start_Date,_xlfn.SEQUENCE(Term_1)-1)</f>
        <v>0</v>
      </c>
      <c r="C9" s="29" cm="1">
        <f t="array" ref="C9:J68">_xlfn.LET(_xlpm.r,Rate_1/12,_xlpm.n,Term_1,_xlpm.p,Pmt_1,_xlpm.lia0,$B$3,_xlpm.rou0,$B$4,_xlpm.slc,$B$5,_xlpm.per,_xlfn.SEQUENCE(_xlpm.n),_xlpm.clo,_xlfn.SCAN(_xlpm.lia0,_xlpm.per,_xlfn.LAMBDA(_xlpm.a,_xlpm.i,_xlpm.a-(_xlpm.p-(_xlpm.a-_xlpm.p)*_xlpm.r))),_xlpm.opn,_xlfn.VSTACK(_xlpm.lia0,_xlfn.DROP(_xlpm.clo,-1)),_xlpm.intr,(_xlpm.opn-_xlpm.p)*_xlpm.r,_xlpm.prin,_xlpm.p-_xlpm.intr,_xlpm.amrt,IF(Lease_Class="Finance",_xlpm.per*0+_xlpm.rou0/_xlpm.n,_xlpm.slc-_xlpm.intr),_xlpm.cost,IF(Lease_Class="Finance",_xlpm.intr+_xlpm.amrt,_xlpm.per*0+_xlpm.slc),_xlpm.rclo,_xlpm.rou0-_xlfn.SCAN(0,_xlpm.amrt,_xlfn.LAMBDA(_xlpm.a,_xlpm.b,_xlpm.a+_xlpm.b)),_xlfn.HSTACK(_xlpm.opn,_xlpm.per*0+_xlpm.p,_xlpm.intr,_xlpm.prin,_xlpm.clo,_xlpm.cost,_xlpm.amrt,_xlpm.rclo))</f>
        <v>0</v>
      </c>
      <c r="D9" s="30" t="n"/>
      <c r="E9" s="30" t="n"/>
      <c r="F9" s="30" t="n"/>
      <c r="G9" s="30" t="n"/>
      <c r="H9" s="30" t="n"/>
      <c r="I9" s="30" t="n"/>
      <c r="J9" s="30" t="n"/>
      <c r="L9" s="3" t="inlineStr">
        <is>
          <t>per*0+slc looks redundant and is not. IF with a scalar test returns whichever branch it picks, so a bare slc would collapse the column to a single value and HSTACK would refuse the mismatched shapes.</t>
        </is>
      </c>
    </row>
    <row r="10">
      <c r="A10" s="21" t="n"/>
      <c r="B10" s="22" t="n"/>
      <c r="C10" s="30" t="n"/>
      <c r="D10" s="30" t="n"/>
      <c r="E10" s="30" t="n"/>
      <c r="F10" s="30" t="n"/>
      <c r="G10" s="30" t="n"/>
      <c r="H10" s="30" t="n"/>
      <c r="I10" s="30" t="n"/>
      <c r="J10" s="30" t="n"/>
    </row>
    <row r="11">
      <c r="A11" s="21" t="n"/>
      <c r="B11" s="22" t="n"/>
      <c r="C11" s="30" t="n"/>
      <c r="D11" s="30" t="n"/>
      <c r="E11" s="30" t="n"/>
      <c r="F11" s="30" t="n"/>
      <c r="G11" s="30" t="n"/>
      <c r="H11" s="30" t="n"/>
      <c r="I11" s="30" t="n"/>
      <c r="J11" s="30" t="n"/>
    </row>
    <row r="12">
      <c r="A12" s="21" t="n"/>
      <c r="B12" s="22" t="n"/>
      <c r="C12" s="30" t="n"/>
      <c r="D12" s="30" t="n"/>
      <c r="E12" s="30" t="n"/>
      <c r="F12" s="30" t="n"/>
      <c r="G12" s="30" t="n"/>
      <c r="H12" s="30" t="n"/>
      <c r="I12" s="30" t="n"/>
      <c r="J12" s="30" t="n"/>
    </row>
    <row r="13">
      <c r="A13" s="21" t="n"/>
      <c r="B13" s="22" t="n"/>
      <c r="C13" s="30" t="n"/>
      <c r="D13" s="30" t="n"/>
      <c r="E13" s="30" t="n"/>
      <c r="F13" s="30" t="n"/>
      <c r="G13" s="30" t="n"/>
      <c r="H13" s="30" t="n"/>
      <c r="I13" s="30" t="n"/>
      <c r="J13" s="30" t="n"/>
      <c r="L13" s="3" t="inlineStr">
        <is>
          <t>Level rent has a closed form — the balance in month k is just PV of the payments left — so you could skip SCAN entirely here. Keep SCAN: the moment rent escalates, is free for a month, or is indexed to CPI, the closed form dies and SCAN carries on unchanged.</t>
        </is>
      </c>
    </row>
    <row r="14">
      <c r="A14" s="21" t="n"/>
      <c r="B14" s="22" t="n"/>
      <c r="C14" s="30" t="n"/>
      <c r="D14" s="30" t="n"/>
      <c r="E14" s="30" t="n"/>
      <c r="F14" s="30" t="n"/>
      <c r="G14" s="30" t="n"/>
      <c r="H14" s="30" t="n"/>
      <c r="I14" s="30" t="n"/>
      <c r="J14" s="30" t="n"/>
    </row>
    <row r="15">
      <c r="A15" s="21" t="n"/>
      <c r="B15" s="22" t="n"/>
      <c r="C15" s="30" t="n"/>
      <c r="D15" s="30" t="n"/>
      <c r="E15" s="30" t="n"/>
      <c r="F15" s="30" t="n"/>
      <c r="G15" s="30" t="n"/>
      <c r="H15" s="30" t="n"/>
      <c r="I15" s="30" t="n"/>
      <c r="J15" s="30" t="n"/>
    </row>
    <row r="16">
      <c r="A16" s="21" t="n"/>
      <c r="B16" s="22" t="n"/>
      <c r="C16" s="30" t="n"/>
      <c r="D16" s="30" t="n"/>
      <c r="E16" s="30" t="n"/>
      <c r="F16" s="30" t="n"/>
      <c r="G16" s="30" t="n"/>
      <c r="H16" s="30" t="n"/>
      <c r="I16" s="30" t="n"/>
      <c r="J16" s="30" t="n"/>
    </row>
    <row r="17">
      <c r="A17" s="21" t="n"/>
      <c r="B17" s="22" t="n"/>
      <c r="C17" s="30" t="n"/>
      <c r="D17" s="30" t="n"/>
      <c r="E17" s="30" t="n"/>
      <c r="F17" s="30" t="n"/>
      <c r="G17" s="30" t="n"/>
      <c r="H17" s="30" t="n"/>
      <c r="I17" s="30" t="n"/>
      <c r="J17" s="30" t="n"/>
    </row>
    <row r="18">
      <c r="A18" s="21" t="n"/>
      <c r="B18" s="22" t="n"/>
      <c r="C18" s="30" t="n"/>
      <c r="D18" s="30" t="n"/>
      <c r="E18" s="30" t="n"/>
      <c r="F18" s="30" t="n"/>
      <c r="G18" s="30" t="n"/>
      <c r="H18" s="30" t="n"/>
      <c r="I18" s="30" t="n"/>
      <c r="J18" s="30" t="n"/>
    </row>
    <row r="19">
      <c r="A19" s="21" t="n"/>
      <c r="B19" s="22" t="n"/>
      <c r="C19" s="30" t="n"/>
      <c r="D19" s="30" t="n"/>
      <c r="E19" s="30" t="n"/>
      <c r="F19" s="30" t="n"/>
      <c r="G19" s="30" t="n"/>
      <c r="H19" s="30" t="n"/>
      <c r="I19" s="30" t="n"/>
      <c r="J19" s="30" t="n"/>
    </row>
    <row r="20">
      <c r="A20" s="21" t="n"/>
      <c r="B20" s="22" t="n"/>
      <c r="C20" s="30" t="n"/>
      <c r="D20" s="30" t="n"/>
      <c r="E20" s="30" t="n"/>
      <c r="F20" s="30" t="n"/>
      <c r="G20" s="30" t="n"/>
      <c r="H20" s="30" t="n"/>
      <c r="I20" s="30" t="n"/>
      <c r="J20" s="30" t="n"/>
    </row>
    <row r="21">
      <c r="A21" s="21" t="n"/>
      <c r="B21" s="22" t="n"/>
      <c r="C21" s="30" t="n"/>
      <c r="D21" s="30" t="n"/>
      <c r="E21" s="30" t="n"/>
      <c r="F21" s="30" t="n"/>
      <c r="G21" s="30" t="n"/>
      <c r="H21" s="30" t="n"/>
      <c r="I21" s="30" t="n"/>
      <c r="J21" s="30" t="n"/>
    </row>
    <row r="22">
      <c r="A22" s="21" t="n"/>
      <c r="B22" s="22" t="n"/>
      <c r="C22" s="30" t="n"/>
      <c r="D22" s="30" t="n"/>
      <c r="E22" s="30" t="n"/>
      <c r="F22" s="30" t="n"/>
      <c r="G22" s="30" t="n"/>
      <c r="H22" s="30" t="n"/>
      <c r="I22" s="30" t="n"/>
      <c r="J22" s="30" t="n"/>
    </row>
    <row r="23">
      <c r="A23" s="21" t="n"/>
      <c r="B23" s="22" t="n"/>
      <c r="C23" s="30" t="n"/>
      <c r="D23" s="30" t="n"/>
      <c r="E23" s="30" t="n"/>
      <c r="F23" s="30" t="n"/>
      <c r="G23" s="30" t="n"/>
      <c r="H23" s="30" t="n"/>
      <c r="I23" s="30" t="n"/>
      <c r="J23" s="30" t="n"/>
    </row>
    <row r="24">
      <c r="A24" s="21" t="n"/>
      <c r="B24" s="22" t="n"/>
      <c r="C24" s="30" t="n"/>
      <c r="D24" s="30" t="n"/>
      <c r="E24" s="30" t="n"/>
      <c r="F24" s="30" t="n"/>
      <c r="G24" s="30" t="n"/>
      <c r="H24" s="30" t="n"/>
      <c r="I24" s="30" t="n"/>
      <c r="J24" s="30" t="n"/>
    </row>
    <row r="25">
      <c r="A25" s="21" t="n"/>
      <c r="B25" s="22" t="n"/>
      <c r="C25" s="30" t="n"/>
      <c r="D25" s="30" t="n"/>
      <c r="E25" s="30" t="n"/>
      <c r="F25" s="30" t="n"/>
      <c r="G25" s="30" t="n"/>
      <c r="H25" s="30" t="n"/>
      <c r="I25" s="30" t="n"/>
      <c r="J25" s="30" t="n"/>
    </row>
    <row r="26">
      <c r="A26" s="21" t="n"/>
      <c r="B26" s="22" t="n"/>
      <c r="C26" s="30" t="n"/>
      <c r="D26" s="30" t="n"/>
      <c r="E26" s="30" t="n"/>
      <c r="F26" s="30" t="n"/>
      <c r="G26" s="30" t="n"/>
      <c r="H26" s="30" t="n"/>
      <c r="I26" s="30" t="n"/>
      <c r="J26" s="30" t="n"/>
    </row>
    <row r="27">
      <c r="A27" s="21" t="n"/>
      <c r="B27" s="22" t="n"/>
      <c r="C27" s="30" t="n"/>
      <c r="D27" s="30" t="n"/>
      <c r="E27" s="30" t="n"/>
      <c r="F27" s="30" t="n"/>
      <c r="G27" s="30" t="n"/>
      <c r="H27" s="30" t="n"/>
      <c r="I27" s="30" t="n"/>
      <c r="J27" s="30" t="n"/>
    </row>
    <row r="28">
      <c r="A28" s="21" t="n"/>
      <c r="B28" s="22" t="n"/>
      <c r="C28" s="30" t="n"/>
      <c r="D28" s="30" t="n"/>
      <c r="E28" s="30" t="n"/>
      <c r="F28" s="30" t="n"/>
      <c r="G28" s="30" t="n"/>
      <c r="H28" s="30" t="n"/>
      <c r="I28" s="30" t="n"/>
      <c r="J28" s="30" t="n"/>
    </row>
    <row r="29">
      <c r="A29" s="21" t="n"/>
      <c r="B29" s="22" t="n"/>
      <c r="C29" s="30" t="n"/>
      <c r="D29" s="30" t="n"/>
      <c r="E29" s="30" t="n"/>
      <c r="F29" s="30" t="n"/>
      <c r="G29" s="30" t="n"/>
      <c r="H29" s="30" t="n"/>
      <c r="I29" s="30" t="n"/>
      <c r="J29" s="30" t="n"/>
    </row>
    <row r="30">
      <c r="A30" s="21" t="n"/>
      <c r="B30" s="22" t="n"/>
      <c r="C30" s="30" t="n"/>
      <c r="D30" s="30" t="n"/>
      <c r="E30" s="30" t="n"/>
      <c r="F30" s="30" t="n"/>
      <c r="G30" s="30" t="n"/>
      <c r="H30" s="30" t="n"/>
      <c r="I30" s="30" t="n"/>
      <c r="J30" s="30" t="n"/>
    </row>
    <row r="31">
      <c r="A31" s="21" t="n"/>
      <c r="B31" s="22" t="n"/>
      <c r="C31" s="30" t="n"/>
      <c r="D31" s="30" t="n"/>
      <c r="E31" s="30" t="n"/>
      <c r="F31" s="30" t="n"/>
      <c r="G31" s="30" t="n"/>
      <c r="H31" s="30" t="n"/>
      <c r="I31" s="30" t="n"/>
      <c r="J31" s="30" t="n"/>
    </row>
    <row r="32">
      <c r="A32" s="21" t="n"/>
      <c r="B32" s="22" t="n"/>
      <c r="C32" s="30" t="n"/>
      <c r="D32" s="30" t="n"/>
      <c r="E32" s="30" t="n"/>
      <c r="F32" s="30" t="n"/>
      <c r="G32" s="30" t="n"/>
      <c r="H32" s="30" t="n"/>
      <c r="I32" s="30" t="n"/>
      <c r="J32" s="30" t="n"/>
    </row>
    <row r="33">
      <c r="A33" s="21" t="n"/>
      <c r="B33" s="22" t="n"/>
      <c r="C33" s="30" t="n"/>
      <c r="D33" s="30" t="n"/>
      <c r="E33" s="30" t="n"/>
      <c r="F33" s="30" t="n"/>
      <c r="G33" s="30" t="n"/>
      <c r="H33" s="30" t="n"/>
      <c r="I33" s="30" t="n"/>
      <c r="J33" s="30" t="n"/>
    </row>
    <row r="34">
      <c r="A34" s="21" t="n"/>
      <c r="B34" s="22" t="n"/>
      <c r="C34" s="30" t="n"/>
      <c r="D34" s="30" t="n"/>
      <c r="E34" s="30" t="n"/>
      <c r="F34" s="30" t="n"/>
      <c r="G34" s="30" t="n"/>
      <c r="H34" s="30" t="n"/>
      <c r="I34" s="30" t="n"/>
      <c r="J34" s="30" t="n"/>
    </row>
    <row r="35">
      <c r="A35" s="21" t="n"/>
      <c r="B35" s="22" t="n"/>
      <c r="C35" s="30" t="n"/>
      <c r="D35" s="30" t="n"/>
      <c r="E35" s="30" t="n"/>
      <c r="F35" s="30" t="n"/>
      <c r="G35" s="30" t="n"/>
      <c r="H35" s="30" t="n"/>
      <c r="I35" s="30" t="n"/>
      <c r="J35" s="30" t="n"/>
    </row>
    <row r="36">
      <c r="A36" s="21" t="n"/>
      <c r="B36" s="22" t="n"/>
      <c r="C36" s="30" t="n"/>
      <c r="D36" s="30" t="n"/>
      <c r="E36" s="30" t="n"/>
      <c r="F36" s="30" t="n"/>
      <c r="G36" s="30" t="n"/>
      <c r="H36" s="30" t="n"/>
      <c r="I36" s="30" t="n"/>
      <c r="J36" s="30" t="n"/>
    </row>
    <row r="37">
      <c r="A37" s="21" t="n"/>
      <c r="B37" s="22" t="n"/>
      <c r="C37" s="30" t="n"/>
      <c r="D37" s="30" t="n"/>
      <c r="E37" s="30" t="n"/>
      <c r="F37" s="30" t="n"/>
      <c r="G37" s="30" t="n"/>
      <c r="H37" s="30" t="n"/>
      <c r="I37" s="30" t="n"/>
      <c r="J37" s="30" t="n"/>
    </row>
    <row r="38">
      <c r="A38" s="21" t="n"/>
      <c r="B38" s="22" t="n"/>
      <c r="C38" s="30" t="n"/>
      <c r="D38" s="30" t="n"/>
      <c r="E38" s="30" t="n"/>
      <c r="F38" s="30" t="n"/>
      <c r="G38" s="30" t="n"/>
      <c r="H38" s="30" t="n"/>
      <c r="I38" s="30" t="n"/>
      <c r="J38" s="30" t="n"/>
    </row>
    <row r="39">
      <c r="A39" s="21" t="n"/>
      <c r="B39" s="22" t="n"/>
      <c r="C39" s="30" t="n"/>
      <c r="D39" s="30" t="n"/>
      <c r="E39" s="30" t="n"/>
      <c r="F39" s="30" t="n"/>
      <c r="G39" s="30" t="n"/>
      <c r="H39" s="30" t="n"/>
      <c r="I39" s="30" t="n"/>
      <c r="J39" s="30" t="n"/>
    </row>
    <row r="40">
      <c r="A40" s="21" t="n"/>
      <c r="B40" s="22" t="n"/>
      <c r="C40" s="30" t="n"/>
      <c r="D40" s="30" t="n"/>
      <c r="E40" s="30" t="n"/>
      <c r="F40" s="30" t="n"/>
      <c r="G40" s="30" t="n"/>
      <c r="H40" s="30" t="n"/>
      <c r="I40" s="30" t="n"/>
      <c r="J40" s="30" t="n"/>
    </row>
    <row r="41">
      <c r="A41" s="21" t="n"/>
      <c r="B41" s="22" t="n"/>
      <c r="C41" s="30" t="n"/>
      <c r="D41" s="30" t="n"/>
      <c r="E41" s="30" t="n"/>
      <c r="F41" s="30" t="n"/>
      <c r="G41" s="30" t="n"/>
      <c r="H41" s="30" t="n"/>
      <c r="I41" s="30" t="n"/>
      <c r="J41" s="30" t="n"/>
    </row>
    <row r="42">
      <c r="A42" s="21" t="n"/>
      <c r="B42" s="22" t="n"/>
      <c r="C42" s="30" t="n"/>
      <c r="D42" s="30" t="n"/>
      <c r="E42" s="30" t="n"/>
      <c r="F42" s="30" t="n"/>
      <c r="G42" s="30" t="n"/>
      <c r="H42" s="30" t="n"/>
      <c r="I42" s="30" t="n"/>
      <c r="J42" s="30" t="n"/>
    </row>
    <row r="43">
      <c r="A43" s="21" t="n"/>
      <c r="B43" s="22" t="n"/>
      <c r="C43" s="30" t="n"/>
      <c r="D43" s="30" t="n"/>
      <c r="E43" s="30" t="n"/>
      <c r="F43" s="30" t="n"/>
      <c r="G43" s="30" t="n"/>
      <c r="H43" s="30" t="n"/>
      <c r="I43" s="30" t="n"/>
      <c r="J43" s="30" t="n"/>
    </row>
    <row r="44">
      <c r="A44" s="21" t="n"/>
      <c r="B44" s="22" t="n"/>
      <c r="C44" s="30" t="n"/>
      <c r="D44" s="30" t="n"/>
      <c r="E44" s="30" t="n"/>
      <c r="F44" s="30" t="n"/>
      <c r="G44" s="30" t="n"/>
      <c r="H44" s="30" t="n"/>
      <c r="I44" s="30" t="n"/>
      <c r="J44" s="30" t="n"/>
    </row>
    <row r="45">
      <c r="A45" s="21" t="n"/>
      <c r="B45" s="22" t="n"/>
      <c r="C45" s="30" t="n"/>
      <c r="D45" s="30" t="n"/>
      <c r="E45" s="30" t="n"/>
      <c r="F45" s="30" t="n"/>
      <c r="G45" s="30" t="n"/>
      <c r="H45" s="30" t="n"/>
      <c r="I45" s="30" t="n"/>
      <c r="J45" s="30" t="n"/>
    </row>
    <row r="46">
      <c r="A46" s="21" t="n"/>
      <c r="B46" s="22" t="n"/>
      <c r="C46" s="30" t="n"/>
      <c r="D46" s="30" t="n"/>
      <c r="E46" s="30" t="n"/>
      <c r="F46" s="30" t="n"/>
      <c r="G46" s="30" t="n"/>
      <c r="H46" s="30" t="n"/>
      <c r="I46" s="30" t="n"/>
      <c r="J46" s="30" t="n"/>
    </row>
    <row r="47">
      <c r="A47" s="21" t="n"/>
      <c r="B47" s="22" t="n"/>
      <c r="C47" s="30" t="n"/>
      <c r="D47" s="30" t="n"/>
      <c r="E47" s="30" t="n"/>
      <c r="F47" s="30" t="n"/>
      <c r="G47" s="30" t="n"/>
      <c r="H47" s="30" t="n"/>
      <c r="I47" s="30" t="n"/>
      <c r="J47" s="30" t="n"/>
    </row>
    <row r="48">
      <c r="A48" s="21" t="n"/>
      <c r="B48" s="22" t="n"/>
      <c r="C48" s="30" t="n"/>
      <c r="D48" s="30" t="n"/>
      <c r="E48" s="30" t="n"/>
      <c r="F48" s="30" t="n"/>
      <c r="G48" s="30" t="n"/>
      <c r="H48" s="30" t="n"/>
      <c r="I48" s="30" t="n"/>
      <c r="J48" s="30" t="n"/>
    </row>
    <row r="49">
      <c r="A49" s="21" t="n"/>
      <c r="B49" s="22" t="n"/>
      <c r="C49" s="30" t="n"/>
      <c r="D49" s="30" t="n"/>
      <c r="E49" s="30" t="n"/>
      <c r="F49" s="30" t="n"/>
      <c r="G49" s="30" t="n"/>
      <c r="H49" s="30" t="n"/>
      <c r="I49" s="30" t="n"/>
      <c r="J49" s="30" t="n"/>
    </row>
    <row r="50">
      <c r="A50" s="21" t="n"/>
      <c r="B50" s="22" t="n"/>
      <c r="C50" s="30" t="n"/>
      <c r="D50" s="30" t="n"/>
      <c r="E50" s="30" t="n"/>
      <c r="F50" s="30" t="n"/>
      <c r="G50" s="30" t="n"/>
      <c r="H50" s="30" t="n"/>
      <c r="I50" s="30" t="n"/>
      <c r="J50" s="30" t="n"/>
    </row>
    <row r="51">
      <c r="A51" s="21" t="n"/>
      <c r="B51" s="22" t="n"/>
      <c r="C51" s="30" t="n"/>
      <c r="D51" s="30" t="n"/>
      <c r="E51" s="30" t="n"/>
      <c r="F51" s="30" t="n"/>
      <c r="G51" s="30" t="n"/>
      <c r="H51" s="30" t="n"/>
      <c r="I51" s="30" t="n"/>
      <c r="J51" s="30" t="n"/>
    </row>
    <row r="52">
      <c r="A52" s="21" t="n"/>
      <c r="B52" s="22" t="n"/>
      <c r="C52" s="30" t="n"/>
      <c r="D52" s="30" t="n"/>
      <c r="E52" s="30" t="n"/>
      <c r="F52" s="30" t="n"/>
      <c r="G52" s="30" t="n"/>
      <c r="H52" s="30" t="n"/>
      <c r="I52" s="30" t="n"/>
      <c r="J52" s="30" t="n"/>
    </row>
    <row r="53">
      <c r="A53" s="21" t="n"/>
      <c r="B53" s="22" t="n"/>
      <c r="C53" s="30" t="n"/>
      <c r="D53" s="30" t="n"/>
      <c r="E53" s="30" t="n"/>
      <c r="F53" s="30" t="n"/>
      <c r="G53" s="30" t="n"/>
      <c r="H53" s="30" t="n"/>
      <c r="I53" s="30" t="n"/>
      <c r="J53" s="30" t="n"/>
    </row>
    <row r="54">
      <c r="A54" s="21" t="n"/>
      <c r="B54" s="22" t="n"/>
      <c r="C54" s="30" t="n"/>
      <c r="D54" s="30" t="n"/>
      <c r="E54" s="30" t="n"/>
      <c r="F54" s="30" t="n"/>
      <c r="G54" s="30" t="n"/>
      <c r="H54" s="30" t="n"/>
      <c r="I54" s="30" t="n"/>
      <c r="J54" s="30" t="n"/>
    </row>
    <row r="55">
      <c r="A55" s="21" t="n"/>
      <c r="B55" s="22" t="n"/>
      <c r="C55" s="30" t="n"/>
      <c r="D55" s="30" t="n"/>
      <c r="E55" s="30" t="n"/>
      <c r="F55" s="30" t="n"/>
      <c r="G55" s="30" t="n"/>
      <c r="H55" s="30" t="n"/>
      <c r="I55" s="30" t="n"/>
      <c r="J55" s="30" t="n"/>
    </row>
    <row r="56">
      <c r="A56" s="21" t="n"/>
      <c r="B56" s="22" t="n"/>
      <c r="C56" s="30" t="n"/>
      <c r="D56" s="30" t="n"/>
      <c r="E56" s="30" t="n"/>
      <c r="F56" s="30" t="n"/>
      <c r="G56" s="30" t="n"/>
      <c r="H56" s="30" t="n"/>
      <c r="I56" s="30" t="n"/>
      <c r="J56" s="30" t="n"/>
    </row>
    <row r="57">
      <c r="A57" s="21" t="n"/>
      <c r="B57" s="22" t="n"/>
      <c r="C57" s="30" t="n"/>
      <c r="D57" s="30" t="n"/>
      <c r="E57" s="30" t="n"/>
      <c r="F57" s="30" t="n"/>
      <c r="G57" s="30" t="n"/>
      <c r="H57" s="30" t="n"/>
      <c r="I57" s="30" t="n"/>
      <c r="J57" s="30" t="n"/>
    </row>
    <row r="58">
      <c r="A58" s="21" t="n"/>
      <c r="B58" s="22" t="n"/>
      <c r="C58" s="30" t="n"/>
      <c r="D58" s="30" t="n"/>
      <c r="E58" s="30" t="n"/>
      <c r="F58" s="30" t="n"/>
      <c r="G58" s="30" t="n"/>
      <c r="H58" s="30" t="n"/>
      <c r="I58" s="30" t="n"/>
      <c r="J58" s="30" t="n"/>
    </row>
    <row r="59">
      <c r="A59" s="21" t="n"/>
      <c r="B59" s="22" t="n"/>
      <c r="C59" s="30" t="n"/>
      <c r="D59" s="30" t="n"/>
      <c r="E59" s="30" t="n"/>
      <c r="F59" s="30" t="n"/>
      <c r="G59" s="30" t="n"/>
      <c r="H59" s="30" t="n"/>
      <c r="I59" s="30" t="n"/>
      <c r="J59" s="30" t="n"/>
    </row>
    <row r="60">
      <c r="A60" s="21" t="n"/>
      <c r="B60" s="22" t="n"/>
      <c r="C60" s="30" t="n"/>
      <c r="D60" s="30" t="n"/>
      <c r="E60" s="30" t="n"/>
      <c r="F60" s="30" t="n"/>
      <c r="G60" s="30" t="n"/>
      <c r="H60" s="30" t="n"/>
      <c r="I60" s="30" t="n"/>
      <c r="J60" s="30" t="n"/>
    </row>
    <row r="61">
      <c r="A61" s="21" t="n"/>
      <c r="B61" s="22" t="n"/>
      <c r="C61" s="30" t="n"/>
      <c r="D61" s="30" t="n"/>
      <c r="E61" s="30" t="n"/>
      <c r="F61" s="30" t="n"/>
      <c r="G61" s="30" t="n"/>
      <c r="H61" s="30" t="n"/>
      <c r="I61" s="30" t="n"/>
      <c r="J61" s="30" t="n"/>
    </row>
    <row r="62">
      <c r="A62" s="21" t="n"/>
      <c r="B62" s="22" t="n"/>
      <c r="C62" s="30" t="n"/>
      <c r="D62" s="30" t="n"/>
      <c r="E62" s="30" t="n"/>
      <c r="F62" s="30" t="n"/>
      <c r="G62" s="30" t="n"/>
      <c r="H62" s="30" t="n"/>
      <c r="I62" s="30" t="n"/>
      <c r="J62" s="30" t="n"/>
    </row>
    <row r="63">
      <c r="A63" s="21" t="n"/>
      <c r="B63" s="22" t="n"/>
      <c r="C63" s="30" t="n"/>
      <c r="D63" s="30" t="n"/>
      <c r="E63" s="30" t="n"/>
      <c r="F63" s="30" t="n"/>
      <c r="G63" s="30" t="n"/>
      <c r="H63" s="30" t="n"/>
      <c r="I63" s="30" t="n"/>
      <c r="J63" s="30" t="n"/>
    </row>
    <row r="64">
      <c r="A64" s="21" t="n"/>
      <c r="B64" s="22" t="n"/>
      <c r="C64" s="30" t="n"/>
      <c r="D64" s="30" t="n"/>
      <c r="E64" s="30" t="n"/>
      <c r="F64" s="30" t="n"/>
      <c r="G64" s="30" t="n"/>
      <c r="H64" s="30" t="n"/>
      <c r="I64" s="30" t="n"/>
      <c r="J64" s="30" t="n"/>
    </row>
    <row r="65">
      <c r="A65" s="21" t="n"/>
      <c r="B65" s="22" t="n"/>
      <c r="C65" s="30" t="n"/>
      <c r="D65" s="30" t="n"/>
      <c r="E65" s="30" t="n"/>
      <c r="F65" s="30" t="n"/>
      <c r="G65" s="30" t="n"/>
      <c r="H65" s="30" t="n"/>
      <c r="I65" s="30" t="n"/>
      <c r="J65" s="30" t="n"/>
    </row>
    <row r="66">
      <c r="A66" s="21" t="n"/>
      <c r="B66" s="22" t="n"/>
      <c r="C66" s="30" t="n"/>
      <c r="D66" s="30" t="n"/>
      <c r="E66" s="30" t="n"/>
      <c r="F66" s="30" t="n"/>
      <c r="G66" s="30" t="n"/>
      <c r="H66" s="30" t="n"/>
      <c r="I66" s="30" t="n"/>
      <c r="J66" s="30" t="n"/>
    </row>
    <row r="67">
      <c r="A67" s="21" t="n"/>
      <c r="B67" s="22" t="n"/>
      <c r="C67" s="30" t="n"/>
      <c r="D67" s="30" t="n"/>
      <c r="E67" s="30" t="n"/>
      <c r="F67" s="30" t="n"/>
      <c r="G67" s="30" t="n"/>
      <c r="H67" s="30" t="n"/>
      <c r="I67" s="30" t="n"/>
      <c r="J67" s="30" t="n"/>
    </row>
    <row r="68">
      <c r="A68" s="21" t="n"/>
      <c r="B68" s="22" t="n"/>
      <c r="C68" s="30" t="n"/>
      <c r="D68" s="30" t="n"/>
      <c r="E68" s="30" t="n"/>
      <c r="F68" s="30" t="n"/>
      <c r="G68" s="30" t="n"/>
      <c r="H68" s="30" t="n"/>
      <c r="I68" s="30" t="n"/>
      <c r="J68" s="3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84"/>
  <sheetViews>
    <sheetView showGridLines="0" workbookViewId="0">
      <pane ySplit="18" topLeftCell="A19" activePane="bottomLeft" state="frozen"/>
      <selection pane="bottomLeft" activeCell="A1" sqref="A1"/>
    </sheetView>
  </sheetViews>
  <sheetFormatPr baseColWidth="8" defaultRowHeight="15"/>
  <cols>
    <col width="8" customWidth="1" min="1" max="1"/>
    <col width="15" customWidth="1" min="2" max="2"/>
    <col width="17" customWidth="1" min="3" max="3"/>
    <col width="12" customWidth="1" min="4" max="4"/>
    <col width="12" customWidth="1" min="5" max="5"/>
    <col width="13" customWidth="1" min="6" max="6"/>
    <col width="17" customWidth="1" min="7" max="7"/>
    <col width="13" customWidth="1" min="8" max="8"/>
    <col width="17" customWidth="1" min="9" max="9"/>
    <col width="15" customWidth="1" min="10" max="10"/>
    <col width="90" customWidth="1" min="12" max="12"/>
  </cols>
  <sheetData>
    <row r="1">
      <c r="A1" s="5" t="inlineStr">
        <is>
          <t>After the modification — Excel 365 build</t>
        </is>
      </c>
    </row>
    <row r="3">
      <c r="B3" s="31">
        <f>DATEDIF(Start_Date,Mod_Date,"M")</f>
        <v/>
      </c>
      <c r="C3" t="inlineStr">
        <is>
          <t>Payments made before the modification</t>
        </is>
      </c>
      <c r="L3" s="3" t="inlineStr">
        <is>
          <t>Identical to the C9 formula on 365 Original bar three swapped inputs: the revised rate, the revised payment, and the revised term. Change the term from 24 extra months to 12 on Inputs and this schedule redraws itself at 54 rows. Nothing to drag, nothing to delete.</t>
        </is>
      </c>
    </row>
    <row r="4">
      <c r="B4" s="31">
        <f>Term_1-B3</f>
        <v/>
      </c>
      <c r="C4" t="inlineStr">
        <is>
          <t>Original months still to run</t>
        </is>
      </c>
    </row>
    <row r="5">
      <c r="B5" s="31">
        <f>B4+Ext_Months</f>
        <v/>
      </c>
      <c r="C5" t="inlineStr">
        <is>
          <t>Revised remaining term (months)</t>
        </is>
      </c>
    </row>
    <row r="6">
      <c r="B6" s="19">
        <f>Mod_Test</f>
        <v/>
      </c>
      <c r="C6" t="inlineStr">
        <is>
          <t>Test 1 conclusion</t>
        </is>
      </c>
    </row>
    <row r="7">
      <c r="B7" s="19">
        <f>Lease_Class</f>
        <v/>
      </c>
      <c r="C7" t="inlineStr">
        <is>
          <t>Classification, reassessed</t>
        </is>
      </c>
    </row>
    <row r="9">
      <c r="B9" s="26">
        <f>INDEX('365 Original'!$G$9:$G$68,B3)</f>
        <v/>
      </c>
      <c r="C9" t="inlineStr">
        <is>
          <t>Carrying liability at the modification date</t>
        </is>
      </c>
      <c r="L9" s="3" t="inlineStr">
        <is>
          <t>Written by hand you would point at the spill. The # attaches only to a spill's ANCHOR cell, never to a cell inside it, so you reach a column by its position in the block: INDEX('365 Original'!C9#,B3,5) for the closing liability, and ,B3,8) for the closing ROU. Saved to the file these are explicit ranges instead, so the workbook opens in every build of Excel. Same answer.</t>
        </is>
      </c>
    </row>
    <row r="10">
      <c r="B10" s="26">
        <f>INDEX('365 Original'!$J$9:$J$68,B3)</f>
        <v/>
      </c>
      <c r="C10" t="inlineStr">
        <is>
          <t>Carrying ROU asset at the modification date</t>
        </is>
      </c>
    </row>
    <row r="11">
      <c r="B11" s="26">
        <f>B10-B9</f>
        <v/>
      </c>
      <c r="C11" t="inlineStr">
        <is>
          <t>Unamortised initial direct costs inside the ROU</t>
        </is>
      </c>
    </row>
    <row r="13">
      <c r="B13" s="26">
        <f>IF(Mod_Test="Separate contract",B9,PV(Rate_2/12,B5,-Pmt_2,,1))</f>
        <v/>
      </c>
      <c r="C13" t="inlineStr">
        <is>
          <t>Remeasured lease liability</t>
        </is>
      </c>
      <c r="L13" s="3" t="inlineStr">
        <is>
          <t>One IF handles the separate-contract branch. If Test 1 concludes 'Separate contract' nothing is remeasured and this whole schedule quietly becomes the unmodified original.</t>
        </is>
      </c>
    </row>
    <row r="14">
      <c r="B14" s="26">
        <f>B13-B9</f>
        <v/>
      </c>
      <c r="C14" t="inlineStr">
        <is>
          <t>Adjustment to the ROU asset</t>
        </is>
      </c>
    </row>
    <row r="15">
      <c r="B15" s="26">
        <f>B10+B14</f>
        <v/>
      </c>
      <c r="C15" t="inlineStr">
        <is>
          <t>ROU asset after remeasurement</t>
        </is>
      </c>
    </row>
    <row r="16">
      <c r="B16" s="26">
        <f>(B5*Pmt_2+B11)/B5</f>
        <v/>
      </c>
      <c r="C16" t="inlineStr">
        <is>
          <t>Revised straight-line lease cost per month</t>
        </is>
      </c>
    </row>
    <row r="18" ht="30" customHeight="1">
      <c r="A18" s="20" t="inlineStr">
        <is>
          <t>Period</t>
        </is>
      </c>
      <c r="B18" s="20" t="inlineStr">
        <is>
          <t>Month starting</t>
        </is>
      </c>
      <c r="C18" s="20" t="inlineStr">
        <is>
          <t>Opening liability</t>
        </is>
      </c>
      <c r="D18" s="20" t="inlineStr">
        <is>
          <t>Payment</t>
        </is>
      </c>
      <c r="E18" s="20" t="inlineStr">
        <is>
          <t>Interest</t>
        </is>
      </c>
      <c r="F18" s="20" t="inlineStr">
        <is>
          <t>Principal</t>
        </is>
      </c>
      <c r="G18" s="20" t="inlineStr">
        <is>
          <t>Closing liability</t>
        </is>
      </c>
      <c r="H18" s="20" t="inlineStr">
        <is>
          <t>Lease cost</t>
        </is>
      </c>
      <c r="I18" s="20" t="inlineStr">
        <is>
          <t>ROU amortisation</t>
        </is>
      </c>
      <c r="J18" s="20" t="inlineStr">
        <is>
          <t>Closing ROU</t>
        </is>
      </c>
    </row>
    <row r="19">
      <c r="A19" s="27" cm="1">
        <f t="array" ref="A19:A84">$B$3+_xlfn.SEQUENCE($B$5)</f>
        <v>0</v>
      </c>
      <c r="B19" s="28" cm="1">
        <f t="array" ref="B19:B84">EDATE(Mod_Date,_xlfn.SEQUENCE($B$5)-1)</f>
        <v>0</v>
      </c>
      <c r="C19" s="29" cm="1">
        <f t="array" ref="C19:J84">_xlfn.LET(_xlpm.r,Rate_2/12,_xlpm.n,$B$5,_xlpm.p,Pmt_2,_xlpm.lia0,$B$13,_xlpm.rou0,$B$15,_xlpm.slc,$B$16,_xlpm.per,_xlfn.SEQUENCE(_xlpm.n),_xlpm.clo,_xlfn.SCAN(_xlpm.lia0,_xlpm.per,_xlfn.LAMBDA(_xlpm.a,_xlpm.i,_xlpm.a-(_xlpm.p-(_xlpm.a-_xlpm.p)*_xlpm.r))),_xlpm.opn,_xlfn.VSTACK(_xlpm.lia0,_xlfn.DROP(_xlpm.clo,-1)),_xlpm.intr,(_xlpm.opn-_xlpm.p)*_xlpm.r,_xlpm.prin,_xlpm.p-_xlpm.intr,_xlpm.amrt,IF(Lease_Class="Finance",_xlpm.per*0+_xlpm.rou0/_xlpm.n,_xlpm.slc-_xlpm.intr),_xlpm.cost,IF(Lease_Class="Finance",_xlpm.intr+_xlpm.amrt,_xlpm.per*0+_xlpm.slc),_xlpm.rclo,_xlpm.rou0-_xlfn.SCAN(0,_xlpm.amrt,_xlfn.LAMBDA(_xlpm.a,_xlpm.b,_xlpm.a+_xlpm.b)),_xlfn.HSTACK(_xlpm.opn,_xlpm.per*0+_xlpm.p,_xlpm.intr,_xlpm.prin,_xlpm.clo,_xlpm.cost,_xlpm.amrt,_xlpm.rclo))</f>
        <v>0</v>
      </c>
      <c r="D19" s="30" t="n"/>
      <c r="E19" s="30" t="n"/>
      <c r="F19" s="30" t="n"/>
      <c r="G19" s="30" t="n"/>
      <c r="H19" s="30" t="n"/>
      <c r="I19" s="30" t="n"/>
      <c r="J19" s="30" t="n"/>
    </row>
    <row r="20">
      <c r="A20" s="21" t="n"/>
      <c r="B20" s="22" t="n"/>
      <c r="C20" s="30" t="n"/>
      <c r="D20" s="30" t="n"/>
      <c r="E20" s="30" t="n"/>
      <c r="F20" s="30" t="n"/>
      <c r="G20" s="30" t="n"/>
      <c r="H20" s="30" t="n"/>
      <c r="I20" s="30" t="n"/>
      <c r="J20" s="30" t="n"/>
    </row>
    <row r="21">
      <c r="A21" s="21" t="n"/>
      <c r="B21" s="22" t="n"/>
      <c r="C21" s="30" t="n"/>
      <c r="D21" s="30" t="n"/>
      <c r="E21" s="30" t="n"/>
      <c r="F21" s="30" t="n"/>
      <c r="G21" s="30" t="n"/>
      <c r="H21" s="30" t="n"/>
      <c r="I21" s="30" t="n"/>
      <c r="J21" s="30" t="n"/>
    </row>
    <row r="22">
      <c r="A22" s="21" t="n"/>
      <c r="B22" s="22" t="n"/>
      <c r="C22" s="30" t="n"/>
      <c r="D22" s="30" t="n"/>
      <c r="E22" s="30" t="n"/>
      <c r="F22" s="30" t="n"/>
      <c r="G22" s="30" t="n"/>
      <c r="H22" s="30" t="n"/>
      <c r="I22" s="30" t="n"/>
      <c r="J22" s="30" t="n"/>
    </row>
    <row r="23">
      <c r="A23" s="21" t="n"/>
      <c r="B23" s="22" t="n"/>
      <c r="C23" s="30" t="n"/>
      <c r="D23" s="30" t="n"/>
      <c r="E23" s="30" t="n"/>
      <c r="F23" s="30" t="n"/>
      <c r="G23" s="30" t="n"/>
      <c r="H23" s="30" t="n"/>
      <c r="I23" s="30" t="n"/>
      <c r="J23" s="30" t="n"/>
    </row>
    <row r="24">
      <c r="A24" s="21" t="n"/>
      <c r="B24" s="22" t="n"/>
      <c r="C24" s="30" t="n"/>
      <c r="D24" s="30" t="n"/>
      <c r="E24" s="30" t="n"/>
      <c r="F24" s="30" t="n"/>
      <c r="G24" s="30" t="n"/>
      <c r="H24" s="30" t="n"/>
      <c r="I24" s="30" t="n"/>
      <c r="J24" s="30" t="n"/>
    </row>
    <row r="25">
      <c r="A25" s="21" t="n"/>
      <c r="B25" s="22" t="n"/>
      <c r="C25" s="30" t="n"/>
      <c r="D25" s="30" t="n"/>
      <c r="E25" s="30" t="n"/>
      <c r="F25" s="30" t="n"/>
      <c r="G25" s="30" t="n"/>
      <c r="H25" s="30" t="n"/>
      <c r="I25" s="30" t="n"/>
      <c r="J25" s="30" t="n"/>
    </row>
    <row r="26">
      <c r="A26" s="21" t="n"/>
      <c r="B26" s="22" t="n"/>
      <c r="C26" s="30" t="n"/>
      <c r="D26" s="30" t="n"/>
      <c r="E26" s="30" t="n"/>
      <c r="F26" s="30" t="n"/>
      <c r="G26" s="30" t="n"/>
      <c r="H26" s="30" t="n"/>
      <c r="I26" s="30" t="n"/>
      <c r="J26" s="30" t="n"/>
    </row>
    <row r="27">
      <c r="A27" s="21" t="n"/>
      <c r="B27" s="22" t="n"/>
      <c r="C27" s="30" t="n"/>
      <c r="D27" s="30" t="n"/>
      <c r="E27" s="30" t="n"/>
      <c r="F27" s="30" t="n"/>
      <c r="G27" s="30" t="n"/>
      <c r="H27" s="30" t="n"/>
      <c r="I27" s="30" t="n"/>
      <c r="J27" s="30" t="n"/>
    </row>
    <row r="28">
      <c r="A28" s="21" t="n"/>
      <c r="B28" s="22" t="n"/>
      <c r="C28" s="30" t="n"/>
      <c r="D28" s="30" t="n"/>
      <c r="E28" s="30" t="n"/>
      <c r="F28" s="30" t="n"/>
      <c r="G28" s="30" t="n"/>
      <c r="H28" s="30" t="n"/>
      <c r="I28" s="30" t="n"/>
      <c r="J28" s="30" t="n"/>
    </row>
    <row r="29">
      <c r="A29" s="21" t="n"/>
      <c r="B29" s="22" t="n"/>
      <c r="C29" s="30" t="n"/>
      <c r="D29" s="30" t="n"/>
      <c r="E29" s="30" t="n"/>
      <c r="F29" s="30" t="n"/>
      <c r="G29" s="30" t="n"/>
      <c r="H29" s="30" t="n"/>
      <c r="I29" s="30" t="n"/>
      <c r="J29" s="30" t="n"/>
    </row>
    <row r="30">
      <c r="A30" s="21" t="n"/>
      <c r="B30" s="22" t="n"/>
      <c r="C30" s="30" t="n"/>
      <c r="D30" s="30" t="n"/>
      <c r="E30" s="30" t="n"/>
      <c r="F30" s="30" t="n"/>
      <c r="G30" s="30" t="n"/>
      <c r="H30" s="30" t="n"/>
      <c r="I30" s="30" t="n"/>
      <c r="J30" s="30" t="n"/>
    </row>
    <row r="31">
      <c r="A31" s="21" t="n"/>
      <c r="B31" s="22" t="n"/>
      <c r="C31" s="30" t="n"/>
      <c r="D31" s="30" t="n"/>
      <c r="E31" s="30" t="n"/>
      <c r="F31" s="30" t="n"/>
      <c r="G31" s="30" t="n"/>
      <c r="H31" s="30" t="n"/>
      <c r="I31" s="30" t="n"/>
      <c r="J31" s="30" t="n"/>
    </row>
    <row r="32">
      <c r="A32" s="21" t="n"/>
      <c r="B32" s="22" t="n"/>
      <c r="C32" s="30" t="n"/>
      <c r="D32" s="30" t="n"/>
      <c r="E32" s="30" t="n"/>
      <c r="F32" s="30" t="n"/>
      <c r="G32" s="30" t="n"/>
      <c r="H32" s="30" t="n"/>
      <c r="I32" s="30" t="n"/>
      <c r="J32" s="30" t="n"/>
    </row>
    <row r="33">
      <c r="A33" s="21" t="n"/>
      <c r="B33" s="22" t="n"/>
      <c r="C33" s="30" t="n"/>
      <c r="D33" s="30" t="n"/>
      <c r="E33" s="30" t="n"/>
      <c r="F33" s="30" t="n"/>
      <c r="G33" s="30" t="n"/>
      <c r="H33" s="30" t="n"/>
      <c r="I33" s="30" t="n"/>
      <c r="J33" s="30" t="n"/>
    </row>
    <row r="34">
      <c r="A34" s="21" t="n"/>
      <c r="B34" s="22" t="n"/>
      <c r="C34" s="30" t="n"/>
      <c r="D34" s="30" t="n"/>
      <c r="E34" s="30" t="n"/>
      <c r="F34" s="30" t="n"/>
      <c r="G34" s="30" t="n"/>
      <c r="H34" s="30" t="n"/>
      <c r="I34" s="30" t="n"/>
      <c r="J34" s="30" t="n"/>
    </row>
    <row r="35">
      <c r="A35" s="21" t="n"/>
      <c r="B35" s="22" t="n"/>
      <c r="C35" s="30" t="n"/>
      <c r="D35" s="30" t="n"/>
      <c r="E35" s="30" t="n"/>
      <c r="F35" s="30" t="n"/>
      <c r="G35" s="30" t="n"/>
      <c r="H35" s="30" t="n"/>
      <c r="I35" s="30" t="n"/>
      <c r="J35" s="30" t="n"/>
    </row>
    <row r="36">
      <c r="A36" s="21" t="n"/>
      <c r="B36" s="22" t="n"/>
      <c r="C36" s="30" t="n"/>
      <c r="D36" s="30" t="n"/>
      <c r="E36" s="30" t="n"/>
      <c r="F36" s="30" t="n"/>
      <c r="G36" s="30" t="n"/>
      <c r="H36" s="30" t="n"/>
      <c r="I36" s="30" t="n"/>
      <c r="J36" s="30" t="n"/>
    </row>
    <row r="37">
      <c r="A37" s="21" t="n"/>
      <c r="B37" s="22" t="n"/>
      <c r="C37" s="30" t="n"/>
      <c r="D37" s="30" t="n"/>
      <c r="E37" s="30" t="n"/>
      <c r="F37" s="30" t="n"/>
      <c r="G37" s="30" t="n"/>
      <c r="H37" s="30" t="n"/>
      <c r="I37" s="30" t="n"/>
      <c r="J37" s="30" t="n"/>
    </row>
    <row r="38">
      <c r="A38" s="21" t="n"/>
      <c r="B38" s="22" t="n"/>
      <c r="C38" s="30" t="n"/>
      <c r="D38" s="30" t="n"/>
      <c r="E38" s="30" t="n"/>
      <c r="F38" s="30" t="n"/>
      <c r="G38" s="30" t="n"/>
      <c r="H38" s="30" t="n"/>
      <c r="I38" s="30" t="n"/>
      <c r="J38" s="30" t="n"/>
    </row>
    <row r="39">
      <c r="A39" s="21" t="n"/>
      <c r="B39" s="22" t="n"/>
      <c r="C39" s="30" t="n"/>
      <c r="D39" s="30" t="n"/>
      <c r="E39" s="30" t="n"/>
      <c r="F39" s="30" t="n"/>
      <c r="G39" s="30" t="n"/>
      <c r="H39" s="30" t="n"/>
      <c r="I39" s="30" t="n"/>
      <c r="J39" s="30" t="n"/>
    </row>
    <row r="40">
      <c r="A40" s="21" t="n"/>
      <c r="B40" s="22" t="n"/>
      <c r="C40" s="30" t="n"/>
      <c r="D40" s="30" t="n"/>
      <c r="E40" s="30" t="n"/>
      <c r="F40" s="30" t="n"/>
      <c r="G40" s="30" t="n"/>
      <c r="H40" s="30" t="n"/>
      <c r="I40" s="30" t="n"/>
      <c r="J40" s="30" t="n"/>
    </row>
    <row r="41">
      <c r="A41" s="21" t="n"/>
      <c r="B41" s="22" t="n"/>
      <c r="C41" s="30" t="n"/>
      <c r="D41" s="30" t="n"/>
      <c r="E41" s="30" t="n"/>
      <c r="F41" s="30" t="n"/>
      <c r="G41" s="30" t="n"/>
      <c r="H41" s="30" t="n"/>
      <c r="I41" s="30" t="n"/>
      <c r="J41" s="30" t="n"/>
    </row>
    <row r="42">
      <c r="A42" s="21" t="n"/>
      <c r="B42" s="22" t="n"/>
      <c r="C42" s="30" t="n"/>
      <c r="D42" s="30" t="n"/>
      <c r="E42" s="30" t="n"/>
      <c r="F42" s="30" t="n"/>
      <c r="G42" s="30" t="n"/>
      <c r="H42" s="30" t="n"/>
      <c r="I42" s="30" t="n"/>
      <c r="J42" s="30" t="n"/>
    </row>
    <row r="43">
      <c r="A43" s="21" t="n"/>
      <c r="B43" s="22" t="n"/>
      <c r="C43" s="30" t="n"/>
      <c r="D43" s="30" t="n"/>
      <c r="E43" s="30" t="n"/>
      <c r="F43" s="30" t="n"/>
      <c r="G43" s="30" t="n"/>
      <c r="H43" s="30" t="n"/>
      <c r="I43" s="30" t="n"/>
      <c r="J43" s="30" t="n"/>
    </row>
    <row r="44">
      <c r="A44" s="21" t="n"/>
      <c r="B44" s="22" t="n"/>
      <c r="C44" s="30" t="n"/>
      <c r="D44" s="30" t="n"/>
      <c r="E44" s="30" t="n"/>
      <c r="F44" s="30" t="n"/>
      <c r="G44" s="30" t="n"/>
      <c r="H44" s="30" t="n"/>
      <c r="I44" s="30" t="n"/>
      <c r="J44" s="30" t="n"/>
    </row>
    <row r="45">
      <c r="A45" s="21" t="n"/>
      <c r="B45" s="22" t="n"/>
      <c r="C45" s="30" t="n"/>
      <c r="D45" s="30" t="n"/>
      <c r="E45" s="30" t="n"/>
      <c r="F45" s="30" t="n"/>
      <c r="G45" s="30" t="n"/>
      <c r="H45" s="30" t="n"/>
      <c r="I45" s="30" t="n"/>
      <c r="J45" s="30" t="n"/>
    </row>
    <row r="46">
      <c r="A46" s="21" t="n"/>
      <c r="B46" s="22" t="n"/>
      <c r="C46" s="30" t="n"/>
      <c r="D46" s="30" t="n"/>
      <c r="E46" s="30" t="n"/>
      <c r="F46" s="30" t="n"/>
      <c r="G46" s="30" t="n"/>
      <c r="H46" s="30" t="n"/>
      <c r="I46" s="30" t="n"/>
      <c r="J46" s="30" t="n"/>
    </row>
    <row r="47">
      <c r="A47" s="21" t="n"/>
      <c r="B47" s="22" t="n"/>
      <c r="C47" s="30" t="n"/>
      <c r="D47" s="30" t="n"/>
      <c r="E47" s="30" t="n"/>
      <c r="F47" s="30" t="n"/>
      <c r="G47" s="30" t="n"/>
      <c r="H47" s="30" t="n"/>
      <c r="I47" s="30" t="n"/>
      <c r="J47" s="30" t="n"/>
    </row>
    <row r="48">
      <c r="A48" s="21" t="n"/>
      <c r="B48" s="22" t="n"/>
      <c r="C48" s="30" t="n"/>
      <c r="D48" s="30" t="n"/>
      <c r="E48" s="30" t="n"/>
      <c r="F48" s="30" t="n"/>
      <c r="G48" s="30" t="n"/>
      <c r="H48" s="30" t="n"/>
      <c r="I48" s="30" t="n"/>
      <c r="J48" s="30" t="n"/>
    </row>
    <row r="49">
      <c r="A49" s="21" t="n"/>
      <c r="B49" s="22" t="n"/>
      <c r="C49" s="30" t="n"/>
      <c r="D49" s="30" t="n"/>
      <c r="E49" s="30" t="n"/>
      <c r="F49" s="30" t="n"/>
      <c r="G49" s="30" t="n"/>
      <c r="H49" s="30" t="n"/>
      <c r="I49" s="30" t="n"/>
      <c r="J49" s="30" t="n"/>
    </row>
    <row r="50">
      <c r="A50" s="21" t="n"/>
      <c r="B50" s="22" t="n"/>
      <c r="C50" s="30" t="n"/>
      <c r="D50" s="30" t="n"/>
      <c r="E50" s="30" t="n"/>
      <c r="F50" s="30" t="n"/>
      <c r="G50" s="30" t="n"/>
      <c r="H50" s="30" t="n"/>
      <c r="I50" s="30" t="n"/>
      <c r="J50" s="30" t="n"/>
    </row>
    <row r="51">
      <c r="A51" s="21" t="n"/>
      <c r="B51" s="22" t="n"/>
      <c r="C51" s="30" t="n"/>
      <c r="D51" s="30" t="n"/>
      <c r="E51" s="30" t="n"/>
      <c r="F51" s="30" t="n"/>
      <c r="G51" s="30" t="n"/>
      <c r="H51" s="30" t="n"/>
      <c r="I51" s="30" t="n"/>
      <c r="J51" s="30" t="n"/>
    </row>
    <row r="52">
      <c r="A52" s="21" t="n"/>
      <c r="B52" s="22" t="n"/>
      <c r="C52" s="30" t="n"/>
      <c r="D52" s="30" t="n"/>
      <c r="E52" s="30" t="n"/>
      <c r="F52" s="30" t="n"/>
      <c r="G52" s="30" t="n"/>
      <c r="H52" s="30" t="n"/>
      <c r="I52" s="30" t="n"/>
      <c r="J52" s="30" t="n"/>
    </row>
    <row r="53">
      <c r="A53" s="21" t="n"/>
      <c r="B53" s="22" t="n"/>
      <c r="C53" s="30" t="n"/>
      <c r="D53" s="30" t="n"/>
      <c r="E53" s="30" t="n"/>
      <c r="F53" s="30" t="n"/>
      <c r="G53" s="30" t="n"/>
      <c r="H53" s="30" t="n"/>
      <c r="I53" s="30" t="n"/>
      <c r="J53" s="30" t="n"/>
    </row>
    <row r="54">
      <c r="A54" s="21" t="n"/>
      <c r="B54" s="22" t="n"/>
      <c r="C54" s="30" t="n"/>
      <c r="D54" s="30" t="n"/>
      <c r="E54" s="30" t="n"/>
      <c r="F54" s="30" t="n"/>
      <c r="G54" s="30" t="n"/>
      <c r="H54" s="30" t="n"/>
      <c r="I54" s="30" t="n"/>
      <c r="J54" s="30" t="n"/>
    </row>
    <row r="55">
      <c r="A55" s="21" t="n"/>
      <c r="B55" s="22" t="n"/>
      <c r="C55" s="30" t="n"/>
      <c r="D55" s="30" t="n"/>
      <c r="E55" s="30" t="n"/>
      <c r="F55" s="30" t="n"/>
      <c r="G55" s="30" t="n"/>
      <c r="H55" s="30" t="n"/>
      <c r="I55" s="30" t="n"/>
      <c r="J55" s="30" t="n"/>
    </row>
    <row r="56">
      <c r="A56" s="21" t="n"/>
      <c r="B56" s="22" t="n"/>
      <c r="C56" s="30" t="n"/>
      <c r="D56" s="30" t="n"/>
      <c r="E56" s="30" t="n"/>
      <c r="F56" s="30" t="n"/>
      <c r="G56" s="30" t="n"/>
      <c r="H56" s="30" t="n"/>
      <c r="I56" s="30" t="n"/>
      <c r="J56" s="30" t="n"/>
    </row>
    <row r="57">
      <c r="A57" s="21" t="n"/>
      <c r="B57" s="22" t="n"/>
      <c r="C57" s="30" t="n"/>
      <c r="D57" s="30" t="n"/>
      <c r="E57" s="30" t="n"/>
      <c r="F57" s="30" t="n"/>
      <c r="G57" s="30" t="n"/>
      <c r="H57" s="30" t="n"/>
      <c r="I57" s="30" t="n"/>
      <c r="J57" s="30" t="n"/>
    </row>
    <row r="58">
      <c r="A58" s="21" t="n"/>
      <c r="B58" s="22" t="n"/>
      <c r="C58" s="30" t="n"/>
      <c r="D58" s="30" t="n"/>
      <c r="E58" s="30" t="n"/>
      <c r="F58" s="30" t="n"/>
      <c r="G58" s="30" t="n"/>
      <c r="H58" s="30" t="n"/>
      <c r="I58" s="30" t="n"/>
      <c r="J58" s="30" t="n"/>
    </row>
    <row r="59">
      <c r="A59" s="21" t="n"/>
      <c r="B59" s="22" t="n"/>
      <c r="C59" s="30" t="n"/>
      <c r="D59" s="30" t="n"/>
      <c r="E59" s="30" t="n"/>
      <c r="F59" s="30" t="n"/>
      <c r="G59" s="30" t="n"/>
      <c r="H59" s="30" t="n"/>
      <c r="I59" s="30" t="n"/>
      <c r="J59" s="30" t="n"/>
    </row>
    <row r="60">
      <c r="A60" s="21" t="n"/>
      <c r="B60" s="22" t="n"/>
      <c r="C60" s="30" t="n"/>
      <c r="D60" s="30" t="n"/>
      <c r="E60" s="30" t="n"/>
      <c r="F60" s="30" t="n"/>
      <c r="G60" s="30" t="n"/>
      <c r="H60" s="30" t="n"/>
      <c r="I60" s="30" t="n"/>
      <c r="J60" s="30" t="n"/>
    </row>
    <row r="61">
      <c r="A61" s="21" t="n"/>
      <c r="B61" s="22" t="n"/>
      <c r="C61" s="30" t="n"/>
      <c r="D61" s="30" t="n"/>
      <c r="E61" s="30" t="n"/>
      <c r="F61" s="30" t="n"/>
      <c r="G61" s="30" t="n"/>
      <c r="H61" s="30" t="n"/>
      <c r="I61" s="30" t="n"/>
      <c r="J61" s="30" t="n"/>
    </row>
    <row r="62">
      <c r="A62" s="21" t="n"/>
      <c r="B62" s="22" t="n"/>
      <c r="C62" s="30" t="n"/>
      <c r="D62" s="30" t="n"/>
      <c r="E62" s="30" t="n"/>
      <c r="F62" s="30" t="n"/>
      <c r="G62" s="30" t="n"/>
      <c r="H62" s="30" t="n"/>
      <c r="I62" s="30" t="n"/>
      <c r="J62" s="30" t="n"/>
    </row>
    <row r="63">
      <c r="A63" s="21" t="n"/>
      <c r="B63" s="22" t="n"/>
      <c r="C63" s="30" t="n"/>
      <c r="D63" s="30" t="n"/>
      <c r="E63" s="30" t="n"/>
      <c r="F63" s="30" t="n"/>
      <c r="G63" s="30" t="n"/>
      <c r="H63" s="30" t="n"/>
      <c r="I63" s="30" t="n"/>
      <c r="J63" s="30" t="n"/>
    </row>
    <row r="64">
      <c r="A64" s="21" t="n"/>
      <c r="B64" s="22" t="n"/>
      <c r="C64" s="30" t="n"/>
      <c r="D64" s="30" t="n"/>
      <c r="E64" s="30" t="n"/>
      <c r="F64" s="30" t="n"/>
      <c r="G64" s="30" t="n"/>
      <c r="H64" s="30" t="n"/>
      <c r="I64" s="30" t="n"/>
      <c r="J64" s="30" t="n"/>
    </row>
    <row r="65">
      <c r="A65" s="21" t="n"/>
      <c r="B65" s="22" t="n"/>
      <c r="C65" s="30" t="n"/>
      <c r="D65" s="30" t="n"/>
      <c r="E65" s="30" t="n"/>
      <c r="F65" s="30" t="n"/>
      <c r="G65" s="30" t="n"/>
      <c r="H65" s="30" t="n"/>
      <c r="I65" s="30" t="n"/>
      <c r="J65" s="30" t="n"/>
    </row>
    <row r="66">
      <c r="A66" s="21" t="n"/>
      <c r="B66" s="22" t="n"/>
      <c r="C66" s="30" t="n"/>
      <c r="D66" s="30" t="n"/>
      <c r="E66" s="30" t="n"/>
      <c r="F66" s="30" t="n"/>
      <c r="G66" s="30" t="n"/>
      <c r="H66" s="30" t="n"/>
      <c r="I66" s="30" t="n"/>
      <c r="J66" s="30" t="n"/>
    </row>
    <row r="67">
      <c r="A67" s="21" t="n"/>
      <c r="B67" s="22" t="n"/>
      <c r="C67" s="30" t="n"/>
      <c r="D67" s="30" t="n"/>
      <c r="E67" s="30" t="n"/>
      <c r="F67" s="30" t="n"/>
      <c r="G67" s="30" t="n"/>
      <c r="H67" s="30" t="n"/>
      <c r="I67" s="30" t="n"/>
      <c r="J67" s="30" t="n"/>
    </row>
    <row r="68">
      <c r="A68" s="21" t="n"/>
      <c r="B68" s="22" t="n"/>
      <c r="C68" s="30" t="n"/>
      <c r="D68" s="30" t="n"/>
      <c r="E68" s="30" t="n"/>
      <c r="F68" s="30" t="n"/>
      <c r="G68" s="30" t="n"/>
      <c r="H68" s="30" t="n"/>
      <c r="I68" s="30" t="n"/>
      <c r="J68" s="30" t="n"/>
    </row>
    <row r="69">
      <c r="A69" s="21" t="n"/>
      <c r="B69" s="22" t="n"/>
      <c r="C69" s="30" t="n"/>
      <c r="D69" s="30" t="n"/>
      <c r="E69" s="30" t="n"/>
      <c r="F69" s="30" t="n"/>
      <c r="G69" s="30" t="n"/>
      <c r="H69" s="30" t="n"/>
      <c r="I69" s="30" t="n"/>
      <c r="J69" s="30" t="n"/>
    </row>
    <row r="70">
      <c r="A70" s="21" t="n"/>
      <c r="B70" s="22" t="n"/>
      <c r="C70" s="30" t="n"/>
      <c r="D70" s="30" t="n"/>
      <c r="E70" s="30" t="n"/>
      <c r="F70" s="30" t="n"/>
      <c r="G70" s="30" t="n"/>
      <c r="H70" s="30" t="n"/>
      <c r="I70" s="30" t="n"/>
      <c r="J70" s="30" t="n"/>
    </row>
    <row r="71">
      <c r="A71" s="21" t="n"/>
      <c r="B71" s="22" t="n"/>
      <c r="C71" s="30" t="n"/>
      <c r="D71" s="30" t="n"/>
      <c r="E71" s="30" t="n"/>
      <c r="F71" s="30" t="n"/>
      <c r="G71" s="30" t="n"/>
      <c r="H71" s="30" t="n"/>
      <c r="I71" s="30" t="n"/>
      <c r="J71" s="30" t="n"/>
    </row>
    <row r="72">
      <c r="A72" s="21" t="n"/>
      <c r="B72" s="22" t="n"/>
      <c r="C72" s="30" t="n"/>
      <c r="D72" s="30" t="n"/>
      <c r="E72" s="30" t="n"/>
      <c r="F72" s="30" t="n"/>
      <c r="G72" s="30" t="n"/>
      <c r="H72" s="30" t="n"/>
      <c r="I72" s="30" t="n"/>
      <c r="J72" s="30" t="n"/>
    </row>
    <row r="73">
      <c r="A73" s="21" t="n"/>
      <c r="B73" s="22" t="n"/>
      <c r="C73" s="30" t="n"/>
      <c r="D73" s="30" t="n"/>
      <c r="E73" s="30" t="n"/>
      <c r="F73" s="30" t="n"/>
      <c r="G73" s="30" t="n"/>
      <c r="H73" s="30" t="n"/>
      <c r="I73" s="30" t="n"/>
      <c r="J73" s="30" t="n"/>
    </row>
    <row r="74">
      <c r="A74" s="21" t="n"/>
      <c r="B74" s="22" t="n"/>
      <c r="C74" s="30" t="n"/>
      <c r="D74" s="30" t="n"/>
      <c r="E74" s="30" t="n"/>
      <c r="F74" s="30" t="n"/>
      <c r="G74" s="30" t="n"/>
      <c r="H74" s="30" t="n"/>
      <c r="I74" s="30" t="n"/>
      <c r="J74" s="30" t="n"/>
    </row>
    <row r="75">
      <c r="A75" s="21" t="n"/>
      <c r="B75" s="22" t="n"/>
      <c r="C75" s="30" t="n"/>
      <c r="D75" s="30" t="n"/>
      <c r="E75" s="30" t="n"/>
      <c r="F75" s="30" t="n"/>
      <c r="G75" s="30" t="n"/>
      <c r="H75" s="30" t="n"/>
      <c r="I75" s="30" t="n"/>
      <c r="J75" s="30" t="n"/>
    </row>
    <row r="76">
      <c r="A76" s="21" t="n"/>
      <c r="B76" s="22" t="n"/>
      <c r="C76" s="30" t="n"/>
      <c r="D76" s="30" t="n"/>
      <c r="E76" s="30" t="n"/>
      <c r="F76" s="30" t="n"/>
      <c r="G76" s="30" t="n"/>
      <c r="H76" s="30" t="n"/>
      <c r="I76" s="30" t="n"/>
      <c r="J76" s="30" t="n"/>
    </row>
    <row r="77">
      <c r="A77" s="21" t="n"/>
      <c r="B77" s="22" t="n"/>
      <c r="C77" s="30" t="n"/>
      <c r="D77" s="30" t="n"/>
      <c r="E77" s="30" t="n"/>
      <c r="F77" s="30" t="n"/>
      <c r="G77" s="30" t="n"/>
      <c r="H77" s="30" t="n"/>
      <c r="I77" s="30" t="n"/>
      <c r="J77" s="30" t="n"/>
    </row>
    <row r="78">
      <c r="A78" s="21" t="n"/>
      <c r="B78" s="22" t="n"/>
      <c r="C78" s="30" t="n"/>
      <c r="D78" s="30" t="n"/>
      <c r="E78" s="30" t="n"/>
      <c r="F78" s="30" t="n"/>
      <c r="G78" s="30" t="n"/>
      <c r="H78" s="30" t="n"/>
      <c r="I78" s="30" t="n"/>
      <c r="J78" s="30" t="n"/>
    </row>
    <row r="79">
      <c r="A79" s="21" t="n"/>
      <c r="B79" s="22" t="n"/>
      <c r="C79" s="30" t="n"/>
      <c r="D79" s="30" t="n"/>
      <c r="E79" s="30" t="n"/>
      <c r="F79" s="30" t="n"/>
      <c r="G79" s="30" t="n"/>
      <c r="H79" s="30" t="n"/>
      <c r="I79" s="30" t="n"/>
      <c r="J79" s="30" t="n"/>
    </row>
    <row r="80">
      <c r="A80" s="21" t="n"/>
      <c r="B80" s="22" t="n"/>
      <c r="C80" s="30" t="n"/>
      <c r="D80" s="30" t="n"/>
      <c r="E80" s="30" t="n"/>
      <c r="F80" s="30" t="n"/>
      <c r="G80" s="30" t="n"/>
      <c r="H80" s="30" t="n"/>
      <c r="I80" s="30" t="n"/>
      <c r="J80" s="30" t="n"/>
    </row>
    <row r="81">
      <c r="A81" s="21" t="n"/>
      <c r="B81" s="22" t="n"/>
      <c r="C81" s="30" t="n"/>
      <c r="D81" s="30" t="n"/>
      <c r="E81" s="30" t="n"/>
      <c r="F81" s="30" t="n"/>
      <c r="G81" s="30" t="n"/>
      <c r="H81" s="30" t="n"/>
      <c r="I81" s="30" t="n"/>
      <c r="J81" s="30" t="n"/>
    </row>
    <row r="82">
      <c r="A82" s="21" t="n"/>
      <c r="B82" s="22" t="n"/>
      <c r="C82" s="30" t="n"/>
      <c r="D82" s="30" t="n"/>
      <c r="E82" s="30" t="n"/>
      <c r="F82" s="30" t="n"/>
      <c r="G82" s="30" t="n"/>
      <c r="H82" s="30" t="n"/>
      <c r="I82" s="30" t="n"/>
      <c r="J82" s="30" t="n"/>
    </row>
    <row r="83">
      <c r="A83" s="21" t="n"/>
      <c r="B83" s="22" t="n"/>
      <c r="C83" s="30" t="n"/>
      <c r="D83" s="30" t="n"/>
      <c r="E83" s="30" t="n"/>
      <c r="F83" s="30" t="n"/>
      <c r="G83" s="30" t="n"/>
      <c r="H83" s="30" t="n"/>
      <c r="I83" s="30" t="n"/>
      <c r="J83" s="30" t="n"/>
    </row>
    <row r="84">
      <c r="A84" s="21" t="n"/>
      <c r="B84" s="22" t="n"/>
      <c r="C84" s="30" t="n"/>
      <c r="D84" s="30" t="n"/>
      <c r="E84" s="30" t="n"/>
      <c r="F84" s="30" t="n"/>
      <c r="G84" s="30" t="n"/>
      <c r="H84" s="30" t="n"/>
      <c r="I84" s="30" t="n"/>
      <c r="J84" s="30"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30"/>
  <sheetViews>
    <sheetView showGridLines="0" workbookViewId="0">
      <selection activeCell="A1" sqref="A1"/>
    </sheetView>
  </sheetViews>
  <sheetFormatPr baseColWidth="8" defaultRowHeight="15"/>
  <cols>
    <col width="10" customWidth="1" min="1" max="1"/>
    <col width="40" customWidth="1" min="2" max="2"/>
    <col width="16" customWidth="1" min="3" max="3"/>
    <col width="16" customWidth="1" min="4" max="4"/>
    <col width="78" customWidth="1" min="5" max="5"/>
  </cols>
  <sheetData>
    <row r="1">
      <c r="A1" s="5" t="inlineStr">
        <is>
          <t>Journal entries</t>
        </is>
      </c>
    </row>
    <row r="3">
      <c r="A3" s="6" t="inlineStr">
        <is>
          <t>1. THE REMEASUREMENT, ON THE MODIFICATION DATE</t>
        </is>
      </c>
    </row>
    <row r="4" ht="30" customHeight="1">
      <c r="A4" s="20" t="inlineStr">
        <is>
          <t>Date</t>
        </is>
      </c>
      <c r="B4" s="20" t="inlineStr">
        <is>
          <t>Account</t>
        </is>
      </c>
      <c r="C4" s="20" t="inlineStr">
        <is>
          <t>Debit</t>
        </is>
      </c>
      <c r="D4" s="20" t="inlineStr">
        <is>
          <t>Credit</t>
        </is>
      </c>
      <c r="E4" s="20" t="inlineStr">
        <is>
          <t>Note</t>
        </is>
      </c>
    </row>
    <row r="5">
      <c r="A5" s="22">
        <f>Mod_Date</f>
        <v/>
      </c>
      <c r="B5" t="inlineStr">
        <is>
          <t>Right-of-use asset</t>
        </is>
      </c>
      <c r="C5" s="18">
        <f>MAX(0,'Classic Remeasured'!B14)</f>
        <v/>
      </c>
      <c r="D5" s="18">
        <f>MAX(0,-'Classic Remeasured'!B14)</f>
        <v/>
      </c>
      <c r="E5" s="8" t="inlineStr">
        <is>
          <t>The full movement in the liability lands here — no gain, no loss, no expense.</t>
        </is>
      </c>
    </row>
    <row r="6">
      <c r="B6" t="inlineStr">
        <is>
          <t>Lease liability</t>
        </is>
      </c>
      <c r="C6" s="18">
        <f>MAX(0,-'Classic Remeasured'!B14)</f>
        <v/>
      </c>
      <c r="D6" s="18">
        <f>MAX(0,'Classic Remeasured'!B14)</f>
        <v/>
      </c>
    </row>
    <row r="7">
      <c r="B7" s="15" t="inlineStr">
        <is>
          <t>Balance check</t>
        </is>
      </c>
      <c r="C7" s="24">
        <f>SUM(C5:C6)-SUM(D5:D6)</f>
        <v/>
      </c>
      <c r="E7" s="8" t="inlineStr">
        <is>
          <t>Zero, or something is wrong.</t>
        </is>
      </c>
    </row>
    <row r="9">
      <c r="A9" s="6" t="inlineStr">
        <is>
          <t>2. A TYPICAL MONTH — OPERATING LEASE, BEFORE AND AFTER</t>
        </is>
      </c>
    </row>
    <row r="10" ht="30" customHeight="1">
      <c r="A10" s="20" t="inlineStr"/>
      <c r="B10" s="20" t="inlineStr">
        <is>
          <t>Account</t>
        </is>
      </c>
      <c r="C10" s="20" t="inlineStr">
        <is>
          <t>Before (month 18)</t>
        </is>
      </c>
      <c r="D10" s="20" t="inlineStr">
        <is>
          <t>After (month 19)</t>
        </is>
      </c>
      <c r="E10" s="20" t="inlineStr">
        <is>
          <t>Note</t>
        </is>
      </c>
    </row>
    <row r="11">
      <c r="B11" t="inlineStr">
        <is>
          <t>Dr  Lease cost (single operating expense)</t>
        </is>
      </c>
      <c r="C11" s="18">
        <f>'Classic Original'!$B$5</f>
        <v/>
      </c>
      <c r="D11" s="18">
        <f>'Classic Remeasured'!$B$16</f>
        <v/>
      </c>
      <c r="E11" s="8" t="inlineStr">
        <is>
          <t>$5,100.00 becomes $5,563.64. One line, straight-lined — an operating lease shows no interest.</t>
        </is>
      </c>
    </row>
    <row r="12">
      <c r="B12" t="inlineStr">
        <is>
          <t>Cr  Cash</t>
        </is>
      </c>
      <c r="C12" s="18">
        <f>Pmt_1</f>
        <v/>
      </c>
      <c r="D12" s="18">
        <f>Pmt_2</f>
        <v/>
      </c>
    </row>
    <row r="13">
      <c r="B13" t="inlineStr">
        <is>
          <t>Dr  Lease liability (principal)</t>
        </is>
      </c>
      <c r="C13" s="18">
        <f>INDEX('Classic Original'!$F$9:$F$68,'Classic Remeasured'!$B$3)</f>
        <v/>
      </c>
      <c r="D13" s="18">
        <f>INDEX('Classic Remeasured'!$F$19:$F$84,1)</f>
        <v/>
      </c>
    </row>
    <row r="14">
      <c r="B14" t="inlineStr">
        <is>
          <t>Cr  Right-of-use asset (amortisation)</t>
        </is>
      </c>
      <c r="C14" s="18">
        <f>INDEX('Classic Original'!$I$9:$I$68,'Classic Remeasured'!$B$3)</f>
        <v/>
      </c>
      <c r="D14" s="18">
        <f>INDEX('Classic Remeasured'!$I$19:$I$84,1)</f>
        <v/>
      </c>
    </row>
    <row r="15">
      <c r="B15" s="15" t="inlineStr">
        <is>
          <t>Balance check</t>
        </is>
      </c>
      <c r="C15" s="24">
        <f>C11+C13-C12-C14</f>
        <v/>
      </c>
      <c r="D15" s="24">
        <f>D11+D13-D12-D14</f>
        <v/>
      </c>
    </row>
    <row r="17" ht="46" customHeight="1">
      <c r="A17" s="6" t="inlineStr">
        <is>
          <t>3. IF SCOPE DECREASES INSTEAD — THE ENTRY THE INCREASE PATTERN GETS WRONG</t>
        </is>
      </c>
      <c r="E17" s="3" t="inlineStr">
        <is>
          <t>Set Scope change to 'Decrease' on Inputs and enter the proportion surrendered. ASC 842-10-25-13 makes you shrink BOTH balances proportionately first and put the difference through profit or loss — the ROU asset falls further than the liability whenever unamortised initial direct costs are riding on it, which is a loss.</t>
        </is>
      </c>
    </row>
    <row r="18" ht="30" customHeight="1">
      <c r="A18" s="20" t="inlineStr">
        <is>
          <t>Step</t>
        </is>
      </c>
      <c r="B18" s="20" t="inlineStr">
        <is>
          <t>Account</t>
        </is>
      </c>
      <c r="C18" s="20" t="inlineStr">
        <is>
          <t>Debit</t>
        </is>
      </c>
      <c r="D18" s="20" t="inlineStr">
        <is>
          <t>Credit</t>
        </is>
      </c>
      <c r="E18" s="20" t="inlineStr">
        <is>
          <t>Note</t>
        </is>
      </c>
    </row>
    <row r="19">
      <c r="A19" t="inlineStr">
        <is>
          <t>3a</t>
        </is>
      </c>
      <c r="B19" t="inlineStr">
        <is>
          <t>Lease liability, proportionate reduction</t>
        </is>
      </c>
      <c r="C19" s="18">
        <f>'Classic Remeasured'!B9*Scope_Pct</f>
        <v/>
      </c>
      <c r="E19" s="8" t="inlineStr">
        <is>
          <t>The liability comes off at the surrendered percentage.</t>
        </is>
      </c>
    </row>
    <row r="20">
      <c r="B20" t="inlineStr">
        <is>
          <t>Right-of-use asset, proportionate reduction</t>
        </is>
      </c>
      <c r="D20" s="18">
        <f>'Classic Remeasured'!B10*Scope_Pct</f>
        <v/>
      </c>
    </row>
    <row r="21">
      <c r="B21" t="inlineStr">
        <is>
          <t>Loss on partial termination</t>
        </is>
      </c>
      <c r="C21" s="18">
        <f>MAX(0,D20-C19)</f>
        <v/>
      </c>
      <c r="D21" s="18">
        <f>MAX(0,C19-D20)</f>
        <v/>
      </c>
      <c r="E21" s="8" t="inlineStr">
        <is>
          <t>This line does not exist in the increase pattern. Miss it and the balance sheet does not balance.</t>
        </is>
      </c>
    </row>
    <row r="23">
      <c r="A23" t="inlineStr">
        <is>
          <t>3b</t>
        </is>
      </c>
      <c r="B23" s="1" t="inlineStr">
        <is>
          <t>Then remeasure whatever is left, at the revised rate, and put THAT movement in the ROU asset — the increase pattern again, applied to the shrunken lease.</t>
        </is>
      </c>
    </row>
    <row r="26" ht="30" customHeight="1">
      <c r="A26" s="6" t="inlineStr">
        <is>
          <t>4. THE SAME REMEASUREMENT ENTRY, FROM ONE 365 FORMULA</t>
        </is>
      </c>
      <c r="E26" s="3" t="inlineStr">
        <is>
          <t>One cell, one spill. MAX(0,adj) / MAX(0,-adj) puts the amount on the correct side by itself, so a remeasurement that REDUCES the liability posts as a credit to the ROU asset without you touching it.</t>
        </is>
      </c>
    </row>
    <row r="28">
      <c r="A28" s="32" cm="1">
        <f t="array" ref="A28:C30">_xlfn.LET(_xlpm.adj,'Classic Remeasured'!B14,_xlfn.VSTACK(_xlfn.HSTACK("Account","Debit","Credit"),_xlfn.HSTACK("Right-of-use asset",MAX(0,_xlpm.adj),MAX(0,-_xlpm.adj)),_xlfn.HSTACK("Lease liability",MAX(0,-_xlpm.adj),MAX(0,_xlpm.adj))))</f>
        <v>0</v>
      </c>
      <c r="B28" s="29" t="n"/>
      <c r="C28" s="29" t="n"/>
    </row>
    <row r="29">
      <c r="A29" s="32" t="n"/>
      <c r="B29" s="29" t="n"/>
      <c r="C29" s="29" t="n"/>
    </row>
    <row r="30">
      <c r="A30" s="32" t="n"/>
      <c r="B30" s="29" t="n"/>
      <c r="C30" s="29" t="n"/>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34"/>
  <sheetViews>
    <sheetView showGridLines="0" workbookViewId="0">
      <selection activeCell="A1" sqref="A1"/>
    </sheetView>
  </sheetViews>
  <sheetFormatPr baseColWidth="8" defaultRowHeight="15"/>
  <cols>
    <col width="56" customWidth="1" min="1" max="1"/>
    <col width="18" customWidth="1" min="2" max="2"/>
    <col width="18" customWidth="1" min="3" max="3"/>
    <col width="14" customWidth="1" min="4" max="4"/>
    <col width="10" customWidth="1" min="5" max="5"/>
    <col width="62" customWidth="1" min="6" max="6"/>
  </cols>
  <sheetData>
    <row r="1">
      <c r="A1" s="5" t="inlineStr">
        <is>
          <t>Check — do the two builds agree, and does everything land on zero?</t>
        </is>
      </c>
    </row>
    <row r="3">
      <c r="A3" s="6" t="inlineStr">
        <is>
          <t>CLASSIC versus 365</t>
        </is>
      </c>
    </row>
    <row r="4" ht="30" customHeight="1">
      <c r="A4" s="20" t="inlineStr">
        <is>
          <t>Measure</t>
        </is>
      </c>
      <c r="B4" s="20" t="inlineStr">
        <is>
          <t>Classic</t>
        </is>
      </c>
      <c r="C4" s="20" t="inlineStr">
        <is>
          <t>Excel 365</t>
        </is>
      </c>
      <c r="D4" s="20" t="inlineStr">
        <is>
          <t>Difference</t>
        </is>
      </c>
      <c r="E4" s="20" t="inlineStr"/>
      <c r="F4" s="20" t="inlineStr">
        <is>
          <t>Note</t>
        </is>
      </c>
    </row>
    <row r="5">
      <c r="A5" t="inlineStr">
        <is>
          <t>Lease liability at commencement</t>
        </is>
      </c>
      <c r="B5" s="18">
        <f>'Classic Original'!$B$3</f>
        <v/>
      </c>
      <c r="C5" s="26">
        <f>'365 Original'!$B$3</f>
        <v/>
      </c>
      <c r="D5" s="33">
        <f>ROUND(B5-C5,6)</f>
        <v/>
      </c>
      <c r="E5" s="15">
        <f>IF(ABS(D5)&lt;0.005,"tie","CHECK")</f>
        <v/>
      </c>
    </row>
    <row r="6">
      <c r="A6" t="inlineStr">
        <is>
          <t>ROU asset at commencement</t>
        </is>
      </c>
      <c r="B6" s="18">
        <f>'Classic Original'!$B$4</f>
        <v/>
      </c>
      <c r="C6" s="26">
        <f>'365 Original'!$B$4</f>
        <v/>
      </c>
      <c r="D6" s="33">
        <f>ROUND(B6-C6,6)</f>
        <v/>
      </c>
      <c r="E6" s="15">
        <f>IF(ABS(D6)&lt;0.005,"tie","CHECK")</f>
        <v/>
      </c>
    </row>
    <row r="7">
      <c r="A7" t="inlineStr">
        <is>
          <t>Liability at the modification date</t>
        </is>
      </c>
      <c r="B7" s="18">
        <f>'Classic Remeasured'!$B$9</f>
        <v/>
      </c>
      <c r="C7" s="26">
        <f>'365 Remeasured'!$B$9</f>
        <v/>
      </c>
      <c r="D7" s="33">
        <f>ROUND(B7-C7,6)</f>
        <v/>
      </c>
      <c r="E7" s="15">
        <f>IF(ABS(D7)&lt;0.005,"tie","CHECK")</f>
        <v/>
      </c>
    </row>
    <row r="8">
      <c r="A8" t="inlineStr">
        <is>
          <t>ROU asset at the modification date</t>
        </is>
      </c>
      <c r="B8" s="18">
        <f>'Classic Remeasured'!$B$10</f>
        <v/>
      </c>
      <c r="C8" s="26">
        <f>'365 Remeasured'!$B$10</f>
        <v/>
      </c>
      <c r="D8" s="33">
        <f>ROUND(B8-C8,6)</f>
        <v/>
      </c>
      <c r="E8" s="15">
        <f>IF(ABS(D8)&lt;0.005,"tie","CHECK")</f>
        <v/>
      </c>
    </row>
    <row r="9">
      <c r="A9" t="inlineStr">
        <is>
          <t>Remeasured lease liability</t>
        </is>
      </c>
      <c r="B9" s="18">
        <f>'Classic Remeasured'!$B$13</f>
        <v/>
      </c>
      <c r="C9" s="26">
        <f>'365 Remeasured'!$B$13</f>
        <v/>
      </c>
      <c r="D9" s="33">
        <f>ROUND(B9-C9,6)</f>
        <v/>
      </c>
      <c r="E9" s="15">
        <f>IF(ABS(D9)&lt;0.005,"tie","CHECK")</f>
        <v/>
      </c>
    </row>
    <row r="10">
      <c r="A10" t="inlineStr">
        <is>
          <t>Adjustment to the ROU asset</t>
        </is>
      </c>
      <c r="B10" s="18">
        <f>'Classic Remeasured'!$B$14</f>
        <v/>
      </c>
      <c r="C10" s="26">
        <f>'365 Remeasured'!$B$14</f>
        <v/>
      </c>
      <c r="D10" s="33">
        <f>ROUND(B10-C10,6)</f>
        <v/>
      </c>
      <c r="E10" s="15">
        <f>IF(ABS(D10)&lt;0.005,"tie","CHECK")</f>
        <v/>
      </c>
    </row>
    <row r="11">
      <c r="A11" t="inlineStr">
        <is>
          <t>Revised straight-line lease cost</t>
        </is>
      </c>
      <c r="B11" s="18">
        <f>'Classic Remeasured'!$B$16</f>
        <v/>
      </c>
      <c r="C11" s="26">
        <f>'365 Remeasured'!$B$16</f>
        <v/>
      </c>
      <c r="D11" s="33">
        <f>ROUND(B11-C11,6)</f>
        <v/>
      </c>
      <c r="E11" s="15">
        <f>IF(ABS(D11)&lt;0.005,"tie","CHECK")</f>
        <v/>
      </c>
    </row>
    <row r="12">
      <c r="A12" t="inlineStr">
        <is>
          <t>Final closing liability</t>
        </is>
      </c>
      <c r="B12" s="18">
        <f>'Classic Remeasured'!$G$84</f>
        <v/>
      </c>
      <c r="C12" s="26">
        <f>'365 Remeasured'!$G$84</f>
        <v/>
      </c>
      <c r="D12" s="33">
        <f>ROUND(B12-C12,6)</f>
        <v/>
      </c>
      <c r="E12" s="15">
        <f>IF(ABS(D12)&lt;0.005,"tie","CHECK")</f>
        <v/>
      </c>
    </row>
    <row r="13">
      <c r="A13" t="inlineStr">
        <is>
          <t>Final closing ROU asset</t>
        </is>
      </c>
      <c r="B13" s="18">
        <f>'Classic Remeasured'!$J$84</f>
        <v/>
      </c>
      <c r="C13" s="26">
        <f>'365 Remeasured'!$J$84</f>
        <v/>
      </c>
      <c r="D13" s="33">
        <f>ROUND(B13-C13,6)</f>
        <v/>
      </c>
      <c r="E13" s="15">
        <f>IF(ABS(D13)&lt;0.005,"tie","CHECK")</f>
        <v/>
      </c>
    </row>
    <row r="15">
      <c r="A15" s="6" t="inlineStr">
        <is>
          <t>DOES IT ACTUALLY WORK?</t>
        </is>
      </c>
    </row>
    <row r="16">
      <c r="A16" t="inlineStr">
        <is>
          <t>Original schedule closes at zero after 60 payments</t>
        </is>
      </c>
      <c r="B16" s="34">
        <f>'Classic Original'!G68</f>
        <v/>
      </c>
      <c r="F16" s="3" t="inlineStr">
        <is>
          <t>Every lease cost you ever recognise must equal every dollar you ever pay, plus the initial direct costs. $459,000 either way. If these two disagree, the straight-line cost was not recut at the modification.</t>
        </is>
      </c>
    </row>
    <row r="17">
      <c r="A17" t="inlineStr">
        <is>
          <t>Remeasured schedule closes at zero after 66 payments</t>
        </is>
      </c>
      <c r="B17" s="34">
        <f>'Classic Remeasured'!G84</f>
        <v/>
      </c>
    </row>
    <row r="18">
      <c r="A18" t="inlineStr">
        <is>
          <t>ROU asset closes at zero</t>
        </is>
      </c>
      <c r="B18" s="34">
        <f>'Classic Remeasured'!J84</f>
        <v/>
      </c>
    </row>
    <row r="19">
      <c r="A19" t="inlineStr">
        <is>
          <t>Total cash rent paid over 84 months</t>
        </is>
      </c>
      <c r="B19" s="34">
        <f>DATEDIF(Start_Date,Mod_Date,"M")*Pmt_1+'Classic Remeasured'!B5*Pmt_2</f>
        <v/>
      </c>
    </row>
    <row r="20">
      <c r="A20" t="inlineStr">
        <is>
          <t>Total lease cost recognised</t>
        </is>
      </c>
      <c r="B20" s="34">
        <f>SUMIF('Classic Original'!$A$9:$A$68,"&lt;="&amp;DATEDIF(Start_Date,Mod_Date,"M"),'Classic Original'!$H$9:$H$68)+'Classic Remeasured'!H86</f>
        <v/>
      </c>
    </row>
    <row r="21">
      <c r="A21" t="inlineStr">
        <is>
          <t>Cash rent plus initial direct costs</t>
        </is>
      </c>
      <c r="B21" s="34">
        <f>B19+IDC</f>
        <v/>
      </c>
    </row>
    <row r="22">
      <c r="A22" t="inlineStr">
        <is>
          <t>Cost recognised minus cash and costs</t>
        </is>
      </c>
      <c r="B22" s="34">
        <f>ROUND(B20-B21,6)</f>
        <v/>
      </c>
      <c r="C22" s="15">
        <f>IF(ABS(B22)&lt;0.005,"tie","CHECK")</f>
        <v/>
      </c>
    </row>
    <row r="24">
      <c r="A24" s="6" t="inlineStr">
        <is>
          <t>THE FOUR WRONG ANSWERS</t>
        </is>
      </c>
      <c r="F24" s="8" t="inlineStr">
        <is>
          <t>Every one of these produces a schedule that looks completely finished.</t>
        </is>
      </c>
    </row>
    <row r="25" ht="30" customHeight="1">
      <c r="A25" s="20" t="inlineStr">
        <is>
          <t>What the workbook did</t>
        </is>
      </c>
      <c r="B25" s="20" t="inlineStr">
        <is>
          <t>Liability reported</t>
        </is>
      </c>
      <c r="C25" s="20" t="inlineStr">
        <is>
          <t>Error</t>
        </is>
      </c>
      <c r="D25" s="20" t="inlineStr"/>
      <c r="E25" s="20" t="inlineStr"/>
      <c r="F25" s="20" t="inlineStr">
        <is>
          <t>Note</t>
        </is>
      </c>
    </row>
    <row r="26">
      <c r="A26" t="inlineStr">
        <is>
          <t>Ignored the modification — inception-only template</t>
        </is>
      </c>
      <c r="B26" s="35">
        <f>'Classic Remeasured'!B9</f>
        <v/>
      </c>
      <c r="C26" s="35">
        <f>B26-$B$30</f>
        <v/>
      </c>
      <c r="F26" s="3" t="inlineStr">
        <is>
          <t>Understates the liability by 38%. Nothing on the face of the schedule looks broken.</t>
        </is>
      </c>
    </row>
    <row r="27">
      <c r="A27" t="inlineStr">
        <is>
          <t>Treated it as a separate contract</t>
        </is>
      </c>
      <c r="B27" s="35">
        <f>'Classic Remeasured'!B9</f>
        <v/>
      </c>
      <c r="C27" s="35">
        <f>B27-$B$30</f>
        <v/>
      </c>
      <c r="F27" s="3" t="inlineStr">
        <is>
          <t>Same number, different reason: the extra term is not a lease yet, so nothing is recognised today.</t>
        </is>
      </c>
    </row>
    <row r="28">
      <c r="A28" t="inlineStr">
        <is>
          <t>Remeasured, but kept the original 5.5% rate</t>
        </is>
      </c>
      <c r="B28" s="35">
        <f>PV(Rate_1/12,'Classic Remeasured'!B5,-Pmt_2,,1)</f>
        <v/>
      </c>
      <c r="C28" s="35">
        <f>B28-$B$30</f>
        <v/>
      </c>
      <c r="F28" s="3" t="inlineStr">
        <is>
          <t>Overstates by $5,554.21. A modification is measured at the rate on the day it happens.</t>
        </is>
      </c>
    </row>
    <row r="29">
      <c r="A29" t="inlineStr">
        <is>
          <t>Remeasured, but forgot the rent is paid in advance</t>
        </is>
      </c>
      <c r="B29" s="35">
        <f>PV(Rate_2/12,'Classic Remeasured'!B5,-Pmt_2)</f>
        <v/>
      </c>
      <c r="C29" s="35">
        <f>B29-$B$30</f>
        <v/>
      </c>
      <c r="F29" s="3" t="inlineStr">
        <is>
          <t>Understates by $1,585.74. The missing trailing 1 in PV.</t>
        </is>
      </c>
    </row>
    <row r="30">
      <c r="A30" s="15" t="inlineStr">
        <is>
          <t>The right answer</t>
        </is>
      </c>
      <c r="B30" s="36">
        <f>'Classic Remeasured'!B13</f>
        <v/>
      </c>
      <c r="C30" s="24" t="n">
        <v>0</v>
      </c>
    </row>
    <row r="32">
      <c r="A32" s="6" t="inlineStr">
        <is>
          <t>And one that gets the liability right but the ROU asset wrong</t>
        </is>
      </c>
    </row>
    <row r="33">
      <c r="A33" t="inlineStr">
        <is>
          <t>Read the balance one row too far down (period 19, not 18)</t>
        </is>
      </c>
      <c r="B33" s="35">
        <f>'Classic Remeasured'!B13-INDEX('Classic Original'!$G$9:$G$68,'Classic Remeasured'!B3+1)</f>
        <v/>
      </c>
      <c r="C33" s="35">
        <f>B33-'Classic Remeasured'!B14</f>
        <v/>
      </c>
      <c r="F33" s="3" t="inlineStr">
        <is>
          <t>The ROU adjustment comes out $4,145.20 too high, because period 19's closing balance is measured AFTER the modification-date rent has gone out. The liability is still right, so nothing looks wrong.</t>
        </is>
      </c>
    </row>
    <row r="34">
      <c r="A34" t="inlineStr">
        <is>
          <t>The right ROU adjustment</t>
        </is>
      </c>
      <c r="B34" s="36">
        <f>'Classic Remeasured'!B14</f>
        <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Manager>Eijaz</Manager>
  <Company>Ask Eijaz</Company>
  <LinksUpToDate>false</LinksUpToDate>
  <SharedDoc>false</SharedDoc>
  <HyperlinkBase>https://askeijaz.com/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Eijaz</dc:creator>
  <dc:title>ASC 842 Lease Modification Tracker</dc:title>
  <dc:description>Companion workbook to askeijaz.com. A 60-month operating lease modified mid-term, remeasured two ways: backward-compatible PV/INDEX schedules and Excel 365 LET + SEQUENCE + SCAN dynamic arrays, tied out to the cent.</dc:description>
  <dc:subject>Lease liability and ROU asset remeasurement under ASC 842</dc:subject>
  <dc:language>en-GB</dc:language>
  <dcterms:created xsi:type="dcterms:W3CDTF">2026-08-28T16:55:42Z</dcterms:created>
  <dcterms:modified xsi:type="dcterms:W3CDTF">2026-08-28T16:55:43Z</dcterms:modified>
  <cp:lastModifiedBy>Eijaz</cp:lastModifiedBy>
  <cp:category>Finance template</cp:category>
  <cp:keywords>ASC 842, lease accounting, lease modification, ROU asset, lease liability, remeasurement, Excel, dynamic arrays, LET, SCAN</cp:keywords>
</cp:coreProperties>
</file>